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defaultThemeVersion="124226"/>
  <xr:revisionPtr revIDLastSave="0" documentId="13_ncr:1_{504F897B-334F-4AA8-B53E-9834B7EEE8D5}" xr6:coauthVersionLast="47" xr6:coauthVersionMax="47" xr10:uidLastSave="{00000000-0000-0000-0000-000000000000}"/>
  <bookViews>
    <workbookView xWindow="28680" yWindow="-135" windowWidth="29040" windowHeight="15840" tabRatio="796" activeTab="4" xr2:uid="{00000000-000D-0000-FFFF-FFFF00000000}"/>
  </bookViews>
  <sheets>
    <sheet name="dilutions MFC_ChS" sheetId="11" r:id="rId1"/>
    <sheet name="Results_ChS_H2S_Ineris" sheetId="20" r:id="rId2"/>
    <sheet name="Results_ChS_COS_Ineris" sheetId="21" r:id="rId3"/>
    <sheet name="ChS_Response_curves" sheetId="17" r:id="rId4"/>
    <sheet name="ChS_reponse_formulas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36" i="17" l="1"/>
  <c r="L135" i="17"/>
  <c r="L103" i="17"/>
  <c r="L102" i="17"/>
  <c r="L45" i="17"/>
  <c r="L46" i="17"/>
  <c r="C17" i="18"/>
  <c r="B17" i="18"/>
  <c r="D17" i="18" l="1"/>
  <c r="G17" i="18"/>
  <c r="F17" i="18"/>
  <c r="P17" i="18"/>
  <c r="O17" i="18"/>
  <c r="L61" i="17"/>
  <c r="F67" i="17"/>
  <c r="F66" i="17"/>
  <c r="F65" i="17"/>
  <c r="F64" i="17"/>
  <c r="F63" i="17"/>
  <c r="L150" i="17"/>
  <c r="L151" i="17"/>
  <c r="F157" i="17"/>
  <c r="F156" i="17"/>
  <c r="F155" i="17"/>
  <c r="F154" i="17"/>
  <c r="F153" i="17"/>
  <c r="C15" i="18"/>
  <c r="F142" i="17"/>
  <c r="F141" i="17"/>
  <c r="F140" i="17"/>
  <c r="F139" i="17"/>
  <c r="F109" i="17"/>
  <c r="F108" i="17"/>
  <c r="F107" i="17"/>
  <c r="F106" i="17"/>
  <c r="F52" i="17"/>
  <c r="F51" i="17"/>
  <c r="F50" i="17"/>
  <c r="F48" i="17"/>
  <c r="F49" i="17"/>
  <c r="D47" i="20"/>
  <c r="E47" i="20"/>
  <c r="F47" i="20"/>
  <c r="C47" i="20"/>
  <c r="B47" i="20"/>
  <c r="D38" i="20"/>
  <c r="E38" i="20"/>
  <c r="F38" i="20"/>
  <c r="C38" i="20"/>
  <c r="F30" i="20"/>
  <c r="E30" i="20"/>
  <c r="D30" i="20"/>
  <c r="C30" i="20"/>
  <c r="B30" i="20"/>
  <c r="B38" i="20"/>
  <c r="D20" i="20"/>
  <c r="E20" i="20"/>
  <c r="F20" i="20"/>
  <c r="C20" i="20"/>
  <c r="B20" i="20"/>
  <c r="F9" i="20"/>
  <c r="P10" i="18"/>
  <c r="Q17" i="18" l="1"/>
  <c r="S17" i="18" s="1"/>
  <c r="E17" i="18"/>
  <c r="E40" i="21"/>
  <c r="D40" i="21"/>
  <c r="C40" i="21"/>
  <c r="C49" i="17" l="1"/>
  <c r="E9" i="20" l="1"/>
  <c r="D9" i="20"/>
  <c r="B9" i="20"/>
  <c r="C9" i="20"/>
  <c r="D31" i="21"/>
  <c r="E31" i="21"/>
  <c r="C31" i="21"/>
  <c r="D23" i="21"/>
  <c r="E23" i="21"/>
  <c r="C23" i="21"/>
  <c r="D16" i="21"/>
  <c r="E16" i="21"/>
  <c r="C16" i="21"/>
  <c r="D7" i="21"/>
  <c r="E7" i="21"/>
  <c r="C7" i="21"/>
  <c r="P11" i="18" l="1"/>
  <c r="O11" i="18"/>
  <c r="H65" i="17"/>
  <c r="H66" i="17"/>
  <c r="H67" i="17"/>
  <c r="H68" i="17"/>
  <c r="H69" i="17"/>
  <c r="H64" i="17"/>
  <c r="G69" i="17"/>
  <c r="I69" i="17" s="1"/>
  <c r="C69" i="17"/>
  <c r="G68" i="17"/>
  <c r="I68" i="17" s="1"/>
  <c r="C68" i="17"/>
  <c r="G67" i="17"/>
  <c r="C67" i="17"/>
  <c r="G66" i="17"/>
  <c r="I66" i="17" s="1"/>
  <c r="C66" i="17"/>
  <c r="E66" i="17" s="1"/>
  <c r="G65" i="17"/>
  <c r="C65" i="17"/>
  <c r="G64" i="17"/>
  <c r="C64" i="17"/>
  <c r="E64" i="17" s="1"/>
  <c r="G63" i="17"/>
  <c r="E63" i="17"/>
  <c r="M86" i="11"/>
  <c r="M87" i="11" s="1"/>
  <c r="J83" i="11"/>
  <c r="E69" i="17" l="1"/>
  <c r="E65" i="17"/>
  <c r="I64" i="17"/>
  <c r="E68" i="17"/>
  <c r="I67" i="17"/>
  <c r="E67" i="17"/>
  <c r="I63" i="17"/>
  <c r="I65" i="17"/>
  <c r="E138" i="17" l="1"/>
  <c r="G138" i="17"/>
  <c r="O10" i="18" l="1"/>
  <c r="O12" i="18"/>
  <c r="O13" i="18"/>
  <c r="O14" i="18"/>
  <c r="O15" i="18"/>
  <c r="O16" i="18"/>
  <c r="O9" i="18"/>
  <c r="P9" i="18"/>
  <c r="P12" i="18"/>
  <c r="P13" i="18"/>
  <c r="P14" i="18"/>
  <c r="P15" i="18"/>
  <c r="P16" i="18"/>
  <c r="P8" i="18"/>
  <c r="F33" i="17" l="1"/>
  <c r="F34" i="17"/>
  <c r="F35" i="17"/>
  <c r="F36" i="17"/>
  <c r="F37" i="17"/>
  <c r="F122" i="17"/>
  <c r="F123" i="17"/>
  <c r="F124" i="17"/>
  <c r="F125" i="17"/>
  <c r="F126" i="17"/>
  <c r="F82" i="17"/>
  <c r="F83" i="17"/>
  <c r="F84" i="17"/>
  <c r="F85" i="17"/>
  <c r="F86" i="17"/>
  <c r="F15" i="17"/>
  <c r="F16" i="17"/>
  <c r="F17" i="17"/>
  <c r="F18" i="17"/>
  <c r="F19" i="17"/>
  <c r="H84" i="17"/>
  <c r="H85" i="17"/>
  <c r="H86" i="17"/>
  <c r="H87" i="17"/>
  <c r="H88" i="17"/>
  <c r="H83" i="17"/>
  <c r="G88" i="17"/>
  <c r="I88" i="17" s="1"/>
  <c r="C88" i="17"/>
  <c r="G87" i="17"/>
  <c r="I87" i="17" s="1"/>
  <c r="C87" i="17"/>
  <c r="G86" i="17"/>
  <c r="C86" i="17"/>
  <c r="G85" i="17"/>
  <c r="C85" i="17"/>
  <c r="G84" i="17"/>
  <c r="C84" i="17"/>
  <c r="G83" i="17"/>
  <c r="C83" i="17"/>
  <c r="G82" i="17"/>
  <c r="E82" i="17"/>
  <c r="H50" i="17"/>
  <c r="H51" i="17"/>
  <c r="H52" i="17"/>
  <c r="H53" i="17"/>
  <c r="H54" i="17"/>
  <c r="H49" i="17"/>
  <c r="E49" i="17" s="1"/>
  <c r="G54" i="17"/>
  <c r="I54" i="17" s="1"/>
  <c r="C54" i="17"/>
  <c r="G53" i="17"/>
  <c r="I53" i="17" s="1"/>
  <c r="C53" i="17"/>
  <c r="G52" i="17"/>
  <c r="C52" i="17"/>
  <c r="G51" i="17"/>
  <c r="C51" i="17"/>
  <c r="G50" i="17"/>
  <c r="C50" i="17"/>
  <c r="G49" i="17"/>
  <c r="G48" i="17"/>
  <c r="E48" i="17"/>
  <c r="D138" i="11"/>
  <c r="D140" i="11" s="1"/>
  <c r="H137" i="11"/>
  <c r="H138" i="11" s="1"/>
  <c r="H140" i="11" s="1"/>
  <c r="G137" i="11"/>
  <c r="G138" i="11" s="1"/>
  <c r="G140" i="11" s="1"/>
  <c r="F137" i="11"/>
  <c r="F138" i="11" s="1"/>
  <c r="F140" i="11" s="1"/>
  <c r="E137" i="11"/>
  <c r="E138" i="11" s="1"/>
  <c r="E140" i="11" s="1"/>
  <c r="E130" i="11"/>
  <c r="F130" i="11" s="1"/>
  <c r="G130" i="11" s="1"/>
  <c r="H130" i="11" s="1"/>
  <c r="I130" i="11" s="1"/>
  <c r="J130" i="11" s="1"/>
  <c r="E86" i="17" l="1"/>
  <c r="I82" i="17"/>
  <c r="L80" i="17" s="1"/>
  <c r="C12" i="18" s="1"/>
  <c r="G12" i="18" s="1"/>
  <c r="I83" i="17"/>
  <c r="I84" i="17"/>
  <c r="I85" i="17"/>
  <c r="I86" i="17"/>
  <c r="E52" i="17"/>
  <c r="E87" i="17"/>
  <c r="I48" i="17"/>
  <c r="I49" i="17"/>
  <c r="I50" i="17"/>
  <c r="I51" i="17"/>
  <c r="I52" i="17"/>
  <c r="E53" i="17"/>
  <c r="E51" i="17"/>
  <c r="E83" i="17"/>
  <c r="E85" i="17"/>
  <c r="E54" i="17"/>
  <c r="E50" i="17"/>
  <c r="E88" i="17"/>
  <c r="E84" i="17"/>
  <c r="C139" i="11"/>
  <c r="C140" i="11" s="1"/>
  <c r="E12" i="18" l="1"/>
  <c r="L79" i="17"/>
  <c r="B12" i="18" s="1"/>
  <c r="D12" i="18" s="1"/>
  <c r="D91" i="11"/>
  <c r="D93" i="11" s="1"/>
  <c r="H90" i="11"/>
  <c r="H91" i="11" s="1"/>
  <c r="H93" i="11" s="1"/>
  <c r="G90" i="11"/>
  <c r="G91" i="11" s="1"/>
  <c r="G93" i="11" s="1"/>
  <c r="F90" i="11"/>
  <c r="F91" i="11" s="1"/>
  <c r="F93" i="11" s="1"/>
  <c r="E90" i="11"/>
  <c r="E91" i="11" s="1"/>
  <c r="E85" i="11"/>
  <c r="F85" i="11" s="1"/>
  <c r="G85" i="11" s="1"/>
  <c r="H85" i="11" s="1"/>
  <c r="I85" i="11" s="1"/>
  <c r="J85" i="11" s="1"/>
  <c r="J29" i="11"/>
  <c r="J28" i="11"/>
  <c r="D55" i="11" s="1"/>
  <c r="F12" i="18" l="1"/>
  <c r="Q12" i="18"/>
  <c r="S12" i="18" s="1"/>
  <c r="E93" i="11"/>
  <c r="C92" i="11"/>
  <c r="C93" i="11" s="1"/>
  <c r="I15" i="17" l="1"/>
  <c r="H159" i="17"/>
  <c r="E159" i="17" s="1"/>
  <c r="H158" i="17"/>
  <c r="E158" i="17" s="1"/>
  <c r="H157" i="17"/>
  <c r="E157" i="17" s="1"/>
  <c r="H156" i="17"/>
  <c r="E156" i="17" s="1"/>
  <c r="H155" i="17"/>
  <c r="E155" i="17" s="1"/>
  <c r="H154" i="17"/>
  <c r="E154" i="17" s="1"/>
  <c r="E153" i="17"/>
  <c r="H144" i="17"/>
  <c r="G144" i="17"/>
  <c r="I144" i="17" s="1"/>
  <c r="C144" i="17"/>
  <c r="H143" i="17"/>
  <c r="G143" i="17"/>
  <c r="C143" i="17"/>
  <c r="H142" i="17"/>
  <c r="G142" i="17"/>
  <c r="C142" i="17"/>
  <c r="H141" i="17"/>
  <c r="G141" i="17"/>
  <c r="C141" i="17"/>
  <c r="H140" i="17"/>
  <c r="G140" i="17"/>
  <c r="C140" i="17"/>
  <c r="H139" i="17"/>
  <c r="G139" i="17"/>
  <c r="C139" i="17"/>
  <c r="H128" i="17"/>
  <c r="G128" i="17"/>
  <c r="I128" i="17" s="1"/>
  <c r="C128" i="17"/>
  <c r="H127" i="17"/>
  <c r="G127" i="17"/>
  <c r="C127" i="17"/>
  <c r="H126" i="17"/>
  <c r="G126" i="17"/>
  <c r="C126" i="17"/>
  <c r="H125" i="17"/>
  <c r="G125" i="17"/>
  <c r="C125" i="17"/>
  <c r="H124" i="17"/>
  <c r="G124" i="17"/>
  <c r="C124" i="17"/>
  <c r="H123" i="17"/>
  <c r="G123" i="17"/>
  <c r="C123" i="17"/>
  <c r="G122" i="17"/>
  <c r="E122" i="17"/>
  <c r="H111" i="17"/>
  <c r="G111" i="17"/>
  <c r="I111" i="17" s="1"/>
  <c r="C111" i="17"/>
  <c r="H110" i="17"/>
  <c r="G110" i="17"/>
  <c r="C110" i="17"/>
  <c r="H109" i="17"/>
  <c r="G109" i="17"/>
  <c r="C109" i="17"/>
  <c r="H108" i="17"/>
  <c r="G108" i="17"/>
  <c r="C108" i="17"/>
  <c r="H107" i="17"/>
  <c r="G107" i="17"/>
  <c r="C107" i="17"/>
  <c r="H106" i="17"/>
  <c r="G106" i="17"/>
  <c r="C106" i="17"/>
  <c r="G105" i="17"/>
  <c r="E105" i="17"/>
  <c r="H39" i="17"/>
  <c r="G39" i="17"/>
  <c r="I39" i="17" s="1"/>
  <c r="C39" i="17"/>
  <c r="H38" i="17"/>
  <c r="G38" i="17"/>
  <c r="I38" i="17" s="1"/>
  <c r="C38" i="17"/>
  <c r="H37" i="17"/>
  <c r="G37" i="17"/>
  <c r="I37" i="17" s="1"/>
  <c r="C37" i="17"/>
  <c r="H36" i="17"/>
  <c r="G36" i="17"/>
  <c r="I36" i="17" s="1"/>
  <c r="C36" i="17"/>
  <c r="H35" i="17"/>
  <c r="G35" i="17"/>
  <c r="I35" i="17" s="1"/>
  <c r="C35" i="17"/>
  <c r="H34" i="17"/>
  <c r="G34" i="17"/>
  <c r="I34" i="17" s="1"/>
  <c r="C34" i="17"/>
  <c r="G33" i="17"/>
  <c r="G153" i="17" s="1"/>
  <c r="E33" i="17"/>
  <c r="H21" i="17"/>
  <c r="G21" i="17"/>
  <c r="I21" i="17" s="1"/>
  <c r="C21" i="17"/>
  <c r="H20" i="17"/>
  <c r="G20" i="17"/>
  <c r="C20" i="17"/>
  <c r="H19" i="17"/>
  <c r="G19" i="17"/>
  <c r="C19" i="17"/>
  <c r="H18" i="17"/>
  <c r="G18" i="17"/>
  <c r="C18" i="17"/>
  <c r="H17" i="17"/>
  <c r="G17" i="17"/>
  <c r="C17" i="17"/>
  <c r="H16" i="17"/>
  <c r="G16" i="17"/>
  <c r="C16" i="17"/>
  <c r="E15" i="17"/>
  <c r="L13" i="17" l="1"/>
  <c r="C8" i="18" s="1"/>
  <c r="G8" i="18" s="1"/>
  <c r="L12" i="17"/>
  <c r="B8" i="18" s="1"/>
  <c r="E18" i="17"/>
  <c r="E17" i="17"/>
  <c r="E111" i="17"/>
  <c r="E124" i="17"/>
  <c r="E128" i="17"/>
  <c r="E140" i="17"/>
  <c r="I16" i="17"/>
  <c r="I20" i="17"/>
  <c r="E144" i="17"/>
  <c r="I138" i="17"/>
  <c r="E34" i="17"/>
  <c r="E38" i="17"/>
  <c r="E106" i="17"/>
  <c r="E108" i="17"/>
  <c r="E110" i="17"/>
  <c r="E123" i="17"/>
  <c r="E127" i="17"/>
  <c r="E139" i="17"/>
  <c r="E143" i="17"/>
  <c r="E109" i="17"/>
  <c r="I142" i="17"/>
  <c r="E36" i="17"/>
  <c r="E19" i="17"/>
  <c r="E107" i="17"/>
  <c r="E125" i="17"/>
  <c r="E141" i="17"/>
  <c r="I122" i="17"/>
  <c r="L119" i="17" s="1"/>
  <c r="B14" i="18" s="1"/>
  <c r="I139" i="17"/>
  <c r="I19" i="17"/>
  <c r="I124" i="17"/>
  <c r="I127" i="17"/>
  <c r="I105" i="17"/>
  <c r="I108" i="17"/>
  <c r="I123" i="17"/>
  <c r="E16" i="17"/>
  <c r="I18" i="17"/>
  <c r="E21" i="17"/>
  <c r="I141" i="17"/>
  <c r="I17" i="17"/>
  <c r="I109" i="17"/>
  <c r="I143" i="17"/>
  <c r="E37" i="17"/>
  <c r="I126" i="17"/>
  <c r="I110" i="17"/>
  <c r="I125" i="17"/>
  <c r="I153" i="17"/>
  <c r="I140" i="17"/>
  <c r="I107" i="17"/>
  <c r="I106" i="17"/>
  <c r="E142" i="17"/>
  <c r="E126" i="17"/>
  <c r="E39" i="17"/>
  <c r="E35" i="17"/>
  <c r="E20" i="17"/>
  <c r="G154" i="17"/>
  <c r="I154" i="17" s="1"/>
  <c r="G155" i="17"/>
  <c r="I155" i="17" s="1"/>
  <c r="G156" i="17"/>
  <c r="I156" i="17" s="1"/>
  <c r="G157" i="17"/>
  <c r="I157" i="17" s="1"/>
  <c r="G158" i="17"/>
  <c r="I158" i="17" s="1"/>
  <c r="G159" i="17"/>
  <c r="I159" i="17" s="1"/>
  <c r="I33" i="17"/>
  <c r="Q8" i="18" l="1"/>
  <c r="S8" i="18" s="1"/>
  <c r="D8" i="18"/>
  <c r="F8" i="18"/>
  <c r="F69" i="11"/>
  <c r="F70" i="11" s="1"/>
  <c r="F72" i="11" s="1"/>
  <c r="G69" i="11"/>
  <c r="G70" i="11" s="1"/>
  <c r="G72" i="11" s="1"/>
  <c r="H69" i="11"/>
  <c r="H70" i="11" s="1"/>
  <c r="H72" i="11" s="1"/>
  <c r="E69" i="11"/>
  <c r="E70" i="11" s="1"/>
  <c r="D70" i="11"/>
  <c r="D72" i="11" s="1"/>
  <c r="F28" i="11"/>
  <c r="F55" i="11"/>
  <c r="G55" i="11"/>
  <c r="H55" i="11"/>
  <c r="I55" i="11"/>
  <c r="E55" i="11"/>
  <c r="F29" i="11"/>
  <c r="C29" i="11"/>
  <c r="C28" i="11"/>
  <c r="E127" i="11" l="1"/>
  <c r="I127" i="11"/>
  <c r="F127" i="11"/>
  <c r="J127" i="11"/>
  <c r="D127" i="11"/>
  <c r="G127" i="11"/>
  <c r="H127" i="11"/>
  <c r="E82" i="11"/>
  <c r="D82" i="11"/>
  <c r="F82" i="11"/>
  <c r="J84" i="11"/>
  <c r="G82" i="11"/>
  <c r="H82" i="11"/>
  <c r="G128" i="11"/>
  <c r="D128" i="11"/>
  <c r="H128" i="11"/>
  <c r="E128" i="11"/>
  <c r="I128" i="11"/>
  <c r="F128" i="11"/>
  <c r="J128" i="11"/>
  <c r="G83" i="11"/>
  <c r="H83" i="11"/>
  <c r="E83" i="11"/>
  <c r="F83" i="11"/>
  <c r="E72" i="11"/>
  <c r="C71" i="11"/>
  <c r="C72" i="11" s="1"/>
  <c r="D83" i="11"/>
  <c r="I84" i="11"/>
  <c r="G105" i="11"/>
  <c r="H105" i="11"/>
  <c r="D98" i="11"/>
  <c r="E106" i="11"/>
  <c r="F106" i="11" s="1"/>
  <c r="G106" i="11" s="1"/>
  <c r="H106" i="11" s="1"/>
  <c r="I106" i="11" s="1"/>
  <c r="D105" i="11"/>
  <c r="I86" i="11" l="1"/>
  <c r="I87" i="11"/>
  <c r="F84" i="11"/>
  <c r="G84" i="11"/>
  <c r="G86" i="11" s="1"/>
  <c r="H84" i="11"/>
  <c r="H86" i="11" s="1"/>
  <c r="E84" i="11"/>
  <c r="E86" i="11" s="1"/>
  <c r="J129" i="11"/>
  <c r="D84" i="11"/>
  <c r="D86" i="11" s="1"/>
  <c r="I129" i="11"/>
  <c r="I132" i="11" s="1"/>
  <c r="H129" i="11"/>
  <c r="H133" i="11" s="1"/>
  <c r="F129" i="11"/>
  <c r="F131" i="11" s="1"/>
  <c r="F132" i="11"/>
  <c r="G129" i="11"/>
  <c r="G132" i="11" s="1"/>
  <c r="I133" i="11"/>
  <c r="D129" i="11"/>
  <c r="D131" i="11" s="1"/>
  <c r="E129" i="11"/>
  <c r="E132" i="11" s="1"/>
  <c r="H115" i="11"/>
  <c r="H114" i="11"/>
  <c r="G114" i="11"/>
  <c r="G115" i="11"/>
  <c r="G113" i="11"/>
  <c r="H108" i="11"/>
  <c r="H113" i="11"/>
  <c r="D108" i="11"/>
  <c r="D114" i="11"/>
  <c r="D115" i="11"/>
  <c r="D113" i="11"/>
  <c r="I105" i="11"/>
  <c r="H107" i="11"/>
  <c r="H112" i="11"/>
  <c r="H111" i="11"/>
  <c r="H110" i="11"/>
  <c r="H109" i="11"/>
  <c r="F105" i="11"/>
  <c r="G107" i="11"/>
  <c r="G112" i="11"/>
  <c r="G111" i="11"/>
  <c r="G110" i="11"/>
  <c r="G109" i="11"/>
  <c r="G108" i="11"/>
  <c r="E105" i="11"/>
  <c r="D107" i="11"/>
  <c r="D111" i="11"/>
  <c r="D109" i="11"/>
  <c r="D112" i="11"/>
  <c r="D110" i="11"/>
  <c r="F133" i="11" l="1"/>
  <c r="I131" i="11"/>
  <c r="H87" i="11"/>
  <c r="E131" i="11"/>
  <c r="F86" i="11"/>
  <c r="F87" i="11"/>
  <c r="D87" i="11"/>
  <c r="E87" i="11"/>
  <c r="G87" i="11"/>
  <c r="H131" i="11"/>
  <c r="E133" i="11"/>
  <c r="D132" i="11"/>
  <c r="D133" i="11"/>
  <c r="H132" i="11"/>
  <c r="G133" i="11"/>
  <c r="G131" i="11"/>
  <c r="F115" i="11"/>
  <c r="F114" i="11"/>
  <c r="I114" i="11"/>
  <c r="I115" i="11"/>
  <c r="F108" i="11"/>
  <c r="F113" i="11"/>
  <c r="I110" i="11"/>
  <c r="I113" i="11"/>
  <c r="E107" i="11"/>
  <c r="E114" i="11"/>
  <c r="E115" i="11"/>
  <c r="E113" i="11"/>
  <c r="I108" i="11"/>
  <c r="I109" i="11"/>
  <c r="I112" i="11"/>
  <c r="I111" i="11"/>
  <c r="F111" i="11"/>
  <c r="F112" i="11"/>
  <c r="F107" i="11"/>
  <c r="F109" i="11"/>
  <c r="I107" i="11"/>
  <c r="F110" i="11"/>
  <c r="E109" i="11"/>
  <c r="E110" i="11"/>
  <c r="E108" i="11"/>
  <c r="E111" i="11"/>
  <c r="E112" i="11"/>
  <c r="J57" i="11"/>
  <c r="J87" i="11" s="1"/>
  <c r="E58" i="11"/>
  <c r="F58" i="11" s="1"/>
  <c r="G58" i="11" s="1"/>
  <c r="H58" i="11" s="1"/>
  <c r="I58" i="11" s="1"/>
  <c r="J58" i="11" s="1"/>
  <c r="J65" i="11" l="1"/>
  <c r="J66" i="11"/>
  <c r="J86" i="11"/>
  <c r="J61" i="11"/>
  <c r="J63" i="11"/>
  <c r="J60" i="11"/>
  <c r="J62" i="11"/>
  <c r="J64" i="11"/>
  <c r="J59" i="11"/>
  <c r="J131" i="11" l="1"/>
  <c r="J133" i="11"/>
  <c r="J132" i="11"/>
  <c r="F56" i="11"/>
  <c r="G56" i="11"/>
  <c r="D56" i="11"/>
  <c r="H56" i="11"/>
  <c r="E56" i="11"/>
  <c r="I56" i="11"/>
  <c r="I57" i="11" l="1"/>
  <c r="E57" i="11"/>
  <c r="G57" i="11"/>
  <c r="H57" i="11"/>
  <c r="F57" i="11"/>
  <c r="D57" i="11"/>
  <c r="D61" i="11" l="1"/>
  <c r="D66" i="11"/>
  <c r="E64" i="11"/>
  <c r="E66" i="11"/>
  <c r="F62" i="11"/>
  <c r="F66" i="11"/>
  <c r="I65" i="11"/>
  <c r="I66" i="11"/>
  <c r="H63" i="11"/>
  <c r="H66" i="11"/>
  <c r="G60" i="11"/>
  <c r="G66" i="11"/>
  <c r="H61" i="11"/>
  <c r="H65" i="11"/>
  <c r="E65" i="11"/>
  <c r="D65" i="11"/>
  <c r="F65" i="11"/>
  <c r="H60" i="11"/>
  <c r="H64" i="11"/>
  <c r="H62" i="11"/>
  <c r="G65" i="11"/>
  <c r="I63" i="11"/>
  <c r="I62" i="11"/>
  <c r="I59" i="11"/>
  <c r="I61" i="11"/>
  <c r="I60" i="11"/>
  <c r="I64" i="11"/>
  <c r="D60" i="11"/>
  <c r="E62" i="11"/>
  <c r="E61" i="11"/>
  <c r="E60" i="11"/>
  <c r="H59" i="11"/>
  <c r="E59" i="11"/>
  <c r="D59" i="11"/>
  <c r="G64" i="11"/>
  <c r="F60" i="11"/>
  <c r="D64" i="11"/>
  <c r="D62" i="11"/>
  <c r="F59" i="11"/>
  <c r="F64" i="11"/>
  <c r="G63" i="11"/>
  <c r="G61" i="11"/>
  <c r="D63" i="11"/>
  <c r="F63" i="11"/>
  <c r="G62" i="11"/>
  <c r="G59" i="11"/>
  <c r="F61" i="11"/>
  <c r="E63" i="11"/>
  <c r="E8" i="18" l="1"/>
  <c r="C16" i="18" l="1"/>
  <c r="L120" i="17"/>
  <c r="C14" i="18" s="1"/>
  <c r="L30" i="17"/>
  <c r="B9" i="18" s="1"/>
  <c r="F14" i="18" l="1"/>
  <c r="E14" i="18"/>
  <c r="D14" i="18"/>
  <c r="G14" i="18"/>
  <c r="E16" i="18"/>
  <c r="G16" i="18"/>
  <c r="Q14" i="18"/>
  <c r="S14" i="18" s="1"/>
  <c r="B15" i="18"/>
  <c r="E15" i="18" l="1"/>
  <c r="G15" i="18"/>
  <c r="F15" i="18"/>
  <c r="D15" i="18"/>
  <c r="Q15" i="18"/>
  <c r="S15" i="18" s="1"/>
  <c r="L31" i="17" l="1"/>
  <c r="C9" i="18" s="1"/>
  <c r="G9" i="18" s="1"/>
  <c r="Q9" i="18" l="1"/>
  <c r="S9" i="18" s="1"/>
  <c r="D9" i="18"/>
  <c r="E9" i="18"/>
  <c r="F9" i="18"/>
  <c r="C10" i="18" l="1"/>
  <c r="B10" i="18"/>
  <c r="C13" i="18"/>
  <c r="B13" i="18"/>
  <c r="F10" i="18" l="1"/>
  <c r="D10" i="18"/>
  <c r="Q10" i="18"/>
  <c r="S10" i="18" s="1"/>
  <c r="E10" i="18"/>
  <c r="G10" i="18"/>
  <c r="Q13" i="18"/>
  <c r="S13" i="18" s="1"/>
  <c r="F13" i="18"/>
  <c r="D13" i="18"/>
  <c r="G13" i="18"/>
  <c r="E13" i="18"/>
  <c r="L60" i="17"/>
  <c r="B11" i="18" s="1"/>
  <c r="C11" i="18"/>
  <c r="G11" i="18" l="1"/>
  <c r="E11" i="18"/>
  <c r="Q11" i="18"/>
  <c r="S11" i="18" s="1"/>
  <c r="F11" i="18"/>
  <c r="D11" i="18"/>
  <c r="B16" i="18"/>
  <c r="Q16" i="18" l="1"/>
  <c r="S16" i="18" s="1"/>
  <c r="D16" i="18"/>
  <c r="F16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F8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02h16 somme de trois aires, manuellement car pic DMS large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F37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Légère saturation</t>
        </r>
      </text>
    </comment>
    <comment ref="C105" authorId="0" shapeId="0" xr:uid="{56D774EB-D56F-47C6-9E26-6B911B744F82}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Peak découpé - pas pris en compte</t>
        </r>
      </text>
    </comment>
  </commentList>
</comments>
</file>

<file path=xl/sharedStrings.xml><?xml version="1.0" encoding="utf-8"?>
<sst xmlns="http://schemas.openxmlformats.org/spreadsheetml/2006/main" count="323" uniqueCount="95">
  <si>
    <t>Point 1</t>
  </si>
  <si>
    <t>Point 2</t>
  </si>
  <si>
    <t>Point 3</t>
  </si>
  <si>
    <t>Point 4</t>
  </si>
  <si>
    <t>y=a.x+b</t>
  </si>
  <si>
    <t>a=</t>
  </si>
  <si>
    <t>b=</t>
  </si>
  <si>
    <t>Point 5</t>
  </si>
  <si>
    <t>Point 6</t>
  </si>
  <si>
    <t>Set Point MFC N2</t>
  </si>
  <si>
    <t>Total flow mL/min</t>
  </si>
  <si>
    <t>C out (ppb)</t>
  </si>
  <si>
    <t>C pure cylinder (ppv)</t>
  </si>
  <si>
    <t>b</t>
  </si>
  <si>
    <t>N2 flow mL/min - pure cyl</t>
  </si>
  <si>
    <t>% setpoint</t>
  </si>
  <si>
    <t>Range mL/min</t>
  </si>
  <si>
    <t>Concentrations awaited after dilution :</t>
  </si>
  <si>
    <t>Set Point MFC Air to dilute</t>
  </si>
  <si>
    <t>TEST</t>
  </si>
  <si>
    <t>Air flow for dilution mL/min</t>
  </si>
  <si>
    <t>0-10</t>
  </si>
  <si>
    <t>MFC 1 DDE - pure cylinder - N2 matrix</t>
  </si>
  <si>
    <t>Linearisation not used because flow fixed during all the test</t>
  </si>
  <si>
    <t>0-1000</t>
  </si>
  <si>
    <t>DES</t>
  </si>
  <si>
    <t>SO2</t>
  </si>
  <si>
    <t>MeSH</t>
  </si>
  <si>
    <t>EtSH</t>
  </si>
  <si>
    <t>DMS</t>
  </si>
  <si>
    <t>CS2</t>
  </si>
  <si>
    <t>DMDS</t>
  </si>
  <si>
    <t>gamme 0 à 400ppb</t>
  </si>
  <si>
    <r>
      <t xml:space="preserve">Prévisionnel </t>
    </r>
    <r>
      <rPr>
        <b/>
        <sz val="11"/>
        <color theme="1"/>
        <rFont val="Calibri"/>
        <family val="2"/>
        <scheme val="minor"/>
      </rPr>
      <t>ChromaS:</t>
    </r>
  </si>
  <si>
    <t>duration for one dilution point (s)</t>
  </si>
  <si>
    <t>duration of one cycle (s)</t>
  </si>
  <si>
    <t>cycles repetitions (number)</t>
  </si>
  <si>
    <t>total duration (s)</t>
  </si>
  <si>
    <t>total duration (hours)</t>
  </si>
  <si>
    <t>: 02 - cells to fill with the multiple-points calibration results</t>
  </si>
  <si>
    <t xml:space="preserve">a = </t>
  </si>
  <si>
    <t xml:space="preserve">b = </t>
  </si>
  <si>
    <t>Point n°</t>
  </si>
  <si>
    <t>Vm (mol/L)</t>
  </si>
  <si>
    <t>EXPECTED (ppb)</t>
  </si>
  <si>
    <t>EXPECTED (mg/m3)</t>
  </si>
  <si>
    <t>AREA</t>
  </si>
  <si>
    <t>BS</t>
  </si>
  <si>
    <t>MW (g)</t>
  </si>
  <si>
    <t>AREA/BS</t>
  </si>
  <si>
    <t>Reponse factors obtained after calibration. To copy/paste in the Vistachrom substance tables</t>
  </si>
  <si>
    <t>Ampli 2</t>
  </si>
  <si>
    <t>A3</t>
  </si>
  <si>
    <t>Ampli 1</t>
  </si>
  <si>
    <t xml:space="preserve">a </t>
  </si>
  <si>
    <t>CV = a*(Area/BS ) ^b</t>
  </si>
  <si>
    <t>MFC 2 DDE2 : cylinder zero air</t>
  </si>
  <si>
    <t>: 01 - BS set at 100 000 in ampli 1 ; BS = constant value</t>
  </si>
  <si>
    <t>Bouteille Chromatotec</t>
  </si>
  <si>
    <t xml:space="preserve">Calibration curves adjusments - ChromaS </t>
  </si>
  <si>
    <t>Bouteille n°1</t>
  </si>
  <si>
    <t>Bouteille n°2</t>
  </si>
  <si>
    <t>Bouteille n°3</t>
  </si>
  <si>
    <t>Bouteille n°4</t>
  </si>
  <si>
    <t>H2S</t>
  </si>
  <si>
    <t>COS</t>
  </si>
  <si>
    <t>0-200mL/min</t>
  </si>
  <si>
    <t>Flow MFM measured 
(T=20°C, P=1013.25hPa)</t>
  </si>
  <si>
    <t>MFC 0-10mL/min</t>
  </si>
  <si>
    <t>MFC 0-1000mL/min</t>
  </si>
  <si>
    <t>MFC 0-200mL/min</t>
  </si>
  <si>
    <t>C pure cylinder (ppb)</t>
  </si>
  <si>
    <t>Sampling date</t>
  </si>
  <si>
    <t>Volume</t>
  </si>
  <si>
    <t>METHYL-SH</t>
  </si>
  <si>
    <t>moy</t>
  </si>
  <si>
    <t>Ampli 3</t>
  </si>
  <si>
    <t>03 : Reponse factors obtained after calibration : C = a*(Area/BS ) ^b</t>
  </si>
  <si>
    <t>Bouteille H2S INERIS</t>
  </si>
  <si>
    <t>Bouteille COS INERIS</t>
  </si>
  <si>
    <t xml:space="preserve"> C = a*(Area/BS ) ^b</t>
  </si>
  <si>
    <t>C pure cylinder (ppbv)</t>
  </si>
  <si>
    <t>M(g/mol)</t>
  </si>
  <si>
    <t>Area mini</t>
  </si>
  <si>
    <t>LDL 
Ampli 2 (ppb)</t>
  </si>
  <si>
    <t>LDl calculation</t>
  </si>
  <si>
    <t>LDL 
Ampli 2 (mg/m3)</t>
  </si>
  <si>
    <t>AIR</t>
  </si>
  <si>
    <t>ml/min</t>
  </si>
  <si>
    <t>ng/min</t>
  </si>
  <si>
    <t>M COS</t>
  </si>
  <si>
    <t>C µg/m3</t>
  </si>
  <si>
    <t>C ppb</t>
  </si>
  <si>
    <t>-</t>
  </si>
  <si>
    <t>Sature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</si>
</sst>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0"/>
    <numFmt numFmtId="167" formatCode="[$-F400]h:mm:ss\ AM/PM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0" fontId="3" fillId="0" borderId="0" xfId="0" applyFont="1"/>
    <xf numFmtId="2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22" fontId="0" fillId="0" borderId="0" xfId="0" applyNumberForma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66" fontId="0" fillId="0" borderId="0" xfId="0" applyNumberForma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2" borderId="0" xfId="0" applyFont="1" applyFill="1" applyAlignment="1" applyProtection="1">
      <alignment horizontal="left"/>
      <protection locked="0"/>
    </xf>
    <xf numFmtId="2" fontId="0" fillId="0" borderId="0" xfId="0" applyNumberFormat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  <protection locked="0"/>
    </xf>
    <xf numFmtId="166" fontId="0" fillId="0" borderId="0" xfId="0" applyNumberFormat="1" applyAlignment="1" applyProtection="1">
      <alignment wrapText="1"/>
      <protection locked="0"/>
    </xf>
    <xf numFmtId="0" fontId="0" fillId="3" borderId="0" xfId="0" applyFill="1" applyAlignment="1" applyProtection="1">
      <alignment horizontal="right"/>
      <protection locked="0"/>
    </xf>
    <xf numFmtId="166" fontId="2" fillId="0" borderId="0" xfId="0" applyNumberFormat="1" applyFont="1" applyAlignment="1" applyProtection="1">
      <alignment wrapText="1"/>
      <protection locked="0"/>
    </xf>
    <xf numFmtId="0" fontId="6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166" fontId="1" fillId="3" borderId="0" xfId="0" applyNumberFormat="1" applyFont="1" applyFill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hidden="1"/>
    </xf>
    <xf numFmtId="166" fontId="1" fillId="0" borderId="0" xfId="0" applyNumberFormat="1" applyFont="1" applyProtection="1"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2" fontId="6" fillId="0" borderId="1" xfId="0" applyNumberFormat="1" applyFont="1" applyFill="1" applyBorder="1" applyAlignment="1" applyProtection="1">
      <alignment horizontal="center"/>
      <protection locked="0"/>
    </xf>
    <xf numFmtId="166" fontId="6" fillId="0" borderId="1" xfId="0" applyNumberFormat="1" applyFont="1" applyFill="1" applyBorder="1" applyAlignment="1" applyProtection="1">
      <alignment horizontal="center"/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  <protection hidden="1"/>
    </xf>
    <xf numFmtId="2" fontId="6" fillId="0" borderId="0" xfId="0" applyNumberFormat="1" applyFont="1" applyProtection="1">
      <protection locked="0"/>
    </xf>
    <xf numFmtId="166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166" fontId="6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  <protection locked="0"/>
    </xf>
    <xf numFmtId="2" fontId="6" fillId="4" borderId="1" xfId="0" applyNumberFormat="1" applyFont="1" applyFill="1" applyBorder="1" applyAlignment="1" applyProtection="1">
      <alignment horizontal="center"/>
      <protection locked="0"/>
    </xf>
    <xf numFmtId="166" fontId="1" fillId="0" borderId="0" xfId="0" applyNumberFormat="1" applyFont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6" fillId="0" borderId="0" xfId="0" applyNumberFormat="1" applyFont="1" applyFill="1" applyBorder="1" applyAlignment="1" applyProtection="1">
      <alignment horizontal="center"/>
      <protection locked="0"/>
    </xf>
    <xf numFmtId="166" fontId="6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Fill="1"/>
    <xf numFmtId="0" fontId="3" fillId="0" borderId="0" xfId="0" applyFont="1" applyFill="1"/>
    <xf numFmtId="0" fontId="0" fillId="0" borderId="3" xfId="0" applyFill="1" applyBorder="1"/>
    <xf numFmtId="0" fontId="0" fillId="0" borderId="5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66" fontId="0" fillId="3" borderId="5" xfId="0" applyNumberFormat="1" applyFill="1" applyBorder="1" applyAlignment="1" applyProtection="1">
      <alignment horizontal="center"/>
      <protection locked="0"/>
    </xf>
    <xf numFmtId="166" fontId="0" fillId="3" borderId="6" xfId="0" applyNumberFormat="1" applyFill="1" applyBorder="1" applyAlignment="1" applyProtection="1">
      <alignment horizontal="center"/>
      <protection locked="0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6" fontId="0" fillId="3" borderId="10" xfId="0" applyNumberFormat="1" applyFill="1" applyBorder="1" applyAlignment="1" applyProtection="1">
      <alignment horizontal="center"/>
      <protection locked="0"/>
    </xf>
    <xf numFmtId="166" fontId="0" fillId="3" borderId="11" xfId="0" applyNumberFormat="1" applyFill="1" applyBorder="1" applyAlignment="1" applyProtection="1">
      <alignment horizontal="center"/>
      <protection locked="0"/>
    </xf>
    <xf numFmtId="2" fontId="0" fillId="0" borderId="0" xfId="0" applyNumberFormat="1" applyProtection="1">
      <protection locked="0"/>
    </xf>
    <xf numFmtId="2" fontId="1" fillId="0" borderId="0" xfId="0" applyNumberFormat="1" applyFont="1" applyProtection="1">
      <protection locked="0"/>
    </xf>
    <xf numFmtId="2" fontId="6" fillId="0" borderId="0" xfId="0" applyNumberFormat="1" applyFont="1" applyBorder="1" applyAlignment="1" applyProtection="1">
      <alignment wrapText="1"/>
      <protection locked="0"/>
    </xf>
    <xf numFmtId="2" fontId="6" fillId="0" borderId="0" xfId="0" applyNumberFormat="1" applyFont="1" applyBorder="1" applyProtection="1">
      <protection locked="0"/>
    </xf>
    <xf numFmtId="2" fontId="6" fillId="0" borderId="0" xfId="0" applyNumberFormat="1" applyFont="1" applyBorder="1" applyAlignment="1" applyProtection="1">
      <alignment horizontal="center"/>
      <protection locked="0"/>
    </xf>
    <xf numFmtId="2" fontId="0" fillId="4" borderId="1" xfId="0" applyNumberFormat="1" applyFill="1" applyBorder="1" applyAlignment="1" applyProtection="1">
      <alignment horizontal="center"/>
      <protection locked="0"/>
    </xf>
    <xf numFmtId="2" fontId="6" fillId="0" borderId="0" xfId="0" applyNumberFormat="1" applyFont="1" applyAlignment="1" applyProtection="1">
      <alignment horizontal="center"/>
      <protection locked="0"/>
    </xf>
    <xf numFmtId="164" fontId="0" fillId="4" borderId="1" xfId="0" applyNumberFormat="1" applyFill="1" applyBorder="1" applyAlignment="1" applyProtection="1">
      <alignment horizontal="center"/>
      <protection locked="0"/>
    </xf>
    <xf numFmtId="0" fontId="1" fillId="6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7" fillId="0" borderId="0" xfId="0" applyFont="1"/>
    <xf numFmtId="0" fontId="1" fillId="2" borderId="1" xfId="0" applyFont="1" applyFill="1" applyBorder="1" applyAlignment="1">
      <alignment horizontal="center" wrapText="1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4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Flow=f(%) for MFC 0-10 N2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'dilutions MFC_ChS'!$B$6:$B$25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'dilutions MFC_ChS'!$C$6:$C$25</c:f>
              <c:numCache>
                <c:formatCode>General</c:formatCode>
                <c:ptCount val="20"/>
                <c:pt idx="0">
                  <c:v>1.04</c:v>
                </c:pt>
                <c:pt idx="1">
                  <c:v>2.04</c:v>
                </c:pt>
                <c:pt idx="2">
                  <c:v>3.04</c:v>
                </c:pt>
                <c:pt idx="3">
                  <c:v>4.04</c:v>
                </c:pt>
                <c:pt idx="4">
                  <c:v>5.04</c:v>
                </c:pt>
                <c:pt idx="5">
                  <c:v>6.04</c:v>
                </c:pt>
                <c:pt idx="6">
                  <c:v>7.04</c:v>
                </c:pt>
                <c:pt idx="7">
                  <c:v>8.0500000000000007</c:v>
                </c:pt>
                <c:pt idx="8">
                  <c:v>9.0500000000000007</c:v>
                </c:pt>
                <c:pt idx="9">
                  <c:v>10.050000000000001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AC-48E6-87BE-FBB94DFFF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779592"/>
        <c:axId val="380542976"/>
      </c:scatterChart>
      <c:valAx>
        <c:axId val="38077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42976"/>
        <c:crosses val="autoZero"/>
        <c:crossBetween val="midCat"/>
      </c:valAx>
      <c:valAx>
        <c:axId val="38054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 mL/min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779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SO2</a:t>
            </a:r>
          </a:p>
        </c:rich>
      </c:tx>
      <c:layout>
        <c:manualLayout>
          <c:xMode val="edge"/>
          <c:yMode val="edge"/>
          <c:x val="0.46139526095714628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8.6503070265321294E-2"/>
          <c:w val="0.78996224025783601"/>
          <c:h val="0.727032417870766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ChS_Response_curves!$I$82:$I$86</c:f>
              <c:numCache>
                <c:formatCode>0.00000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ChS_Response_curves!$E$82:$E$86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A3-4F79-8EF7-4B347E42D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373184"/>
        <c:axId val="282373576"/>
      </c:scatterChart>
      <c:valAx>
        <c:axId val="28237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282373576"/>
        <c:crosses val="autoZero"/>
        <c:crossBetween val="midCat"/>
      </c:valAx>
      <c:valAx>
        <c:axId val="2823735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2823731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6930462851879474E-2"/>
          <c:y val="0.91610342587025928"/>
          <c:w val="0.17950787075755598"/>
          <c:h val="8.389666513359424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H2S</a:t>
            </a:r>
          </a:p>
        </c:rich>
      </c:tx>
      <c:layout>
        <c:manualLayout>
          <c:xMode val="edge"/>
          <c:yMode val="edge"/>
          <c:x val="0.46139526095714628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8.6503070265321294E-2"/>
          <c:w val="0.78996224025783601"/>
          <c:h val="0.727032417870766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0.34587642313267031"/>
                  <c:y val="-3.118994830723427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fr-FR"/>
                </a:p>
              </c:txPr>
            </c:trendlineLbl>
          </c:trendline>
          <c:xVal>
            <c:numRef>
              <c:f>ChS_Response_curves!$I$49:$I$52</c:f>
              <c:numCache>
                <c:formatCode>0.00000</c:formatCode>
                <c:ptCount val="4"/>
                <c:pt idx="0">
                  <c:v>3.1552451428571429</c:v>
                </c:pt>
                <c:pt idx="1">
                  <c:v>0.99318516666666667</c:v>
                </c:pt>
                <c:pt idx="2">
                  <c:v>0.35736499999999999</c:v>
                </c:pt>
                <c:pt idx="3">
                  <c:v>0.21269416666666668</c:v>
                </c:pt>
              </c:numCache>
            </c:numRef>
          </c:xVal>
          <c:yVal>
            <c:numRef>
              <c:f>ChS_Response_curves!$E$49:$E$52</c:f>
              <c:numCache>
                <c:formatCode>0.0000</c:formatCode>
                <c:ptCount val="4"/>
                <c:pt idx="0">
                  <c:v>0.21641650582362729</c:v>
                </c:pt>
                <c:pt idx="1">
                  <c:v>0.13610735440931782</c:v>
                </c:pt>
                <c:pt idx="2">
                  <c:v>6.9024758735440922E-2</c:v>
                </c:pt>
                <c:pt idx="3">
                  <c:v>3.4973111480865224E-2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AE-4C73-8D75-F4DB7BC8E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374360"/>
        <c:axId val="420588128"/>
      </c:scatterChart>
      <c:valAx>
        <c:axId val="28237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420588128"/>
        <c:crosses val="autoZero"/>
        <c:crossBetween val="midCat"/>
      </c:valAx>
      <c:valAx>
        <c:axId val="4205881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layout>
            <c:manualLayout>
              <c:xMode val="edge"/>
              <c:yMode val="edge"/>
              <c:x val="0"/>
              <c:y val="0.35445960137691468"/>
            </c:manualLayout>
          </c:layout>
          <c:overlay val="0"/>
        </c:title>
        <c:numFmt formatCode="0.0000" sourceLinked="1"/>
        <c:majorTickMark val="out"/>
        <c:minorTickMark val="none"/>
        <c:tickLblPos val="nextTo"/>
        <c:crossAx val="282374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6930462851879474E-2"/>
          <c:y val="0.91610342587025928"/>
          <c:w val="0.17950787075755598"/>
          <c:h val="8.389666513359424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</a:t>
            </a:r>
          </a:p>
        </c:rich>
      </c:tx>
      <c:layout>
        <c:manualLayout>
          <c:xMode val="edge"/>
          <c:yMode val="edge"/>
          <c:x val="0.46139526095714628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8.6503070265321294E-2"/>
          <c:w val="0.78996224025783601"/>
          <c:h val="0.727032417870766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0.12982952714942517"/>
                  <c:y val="-2.7157967778380733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ChS_Response_curves!$I$63:$I$67</c:f>
              <c:numCache>
                <c:formatCode>0.00000</c:formatCode>
                <c:ptCount val="5"/>
                <c:pt idx="0">
                  <c:v>1.7297033333333334</c:v>
                </c:pt>
                <c:pt idx="1">
                  <c:v>2.744348</c:v>
                </c:pt>
                <c:pt idx="2">
                  <c:v>3.5009376666666667</c:v>
                </c:pt>
                <c:pt idx="3">
                  <c:v>4.0636202500000005</c:v>
                </c:pt>
                <c:pt idx="4">
                  <c:v>4.7581397999999995</c:v>
                </c:pt>
              </c:numCache>
            </c:numRef>
          </c:xVal>
          <c:yVal>
            <c:numRef>
              <c:f>ChS_Response_curves!$E$63:$E$67</c:f>
              <c:numCache>
                <c:formatCode>0.0000</c:formatCode>
                <c:ptCount val="5"/>
                <c:pt idx="0">
                  <c:v>0.16586716306156404</c:v>
                </c:pt>
                <c:pt idx="1">
                  <c:v>0.21519252911813644</c:v>
                </c:pt>
                <c:pt idx="2">
                  <c:v>0.24975027038269551</c:v>
                </c:pt>
                <c:pt idx="3">
                  <c:v>0.28920556572379369</c:v>
                </c:pt>
                <c:pt idx="4">
                  <c:v>0.3631936148086522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B6-4D51-9E1B-B75542DEC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787720"/>
        <c:axId val="149787328"/>
      </c:scatterChart>
      <c:valAx>
        <c:axId val="149787720"/>
        <c:scaling>
          <c:orientation val="minMax"/>
          <c:max val="5"/>
          <c:min val="1.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149787328"/>
        <c:crosses val="autoZero"/>
        <c:crossBetween val="midCat"/>
      </c:valAx>
      <c:valAx>
        <c:axId val="149787328"/>
        <c:scaling>
          <c:orientation val="minMax"/>
          <c:max val="0.4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149787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6930462851879474E-2"/>
          <c:y val="0.91610342587025928"/>
          <c:w val="0.17950787075755598"/>
          <c:h val="8.389666513359424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Flow=f(%) for MFC 0-1000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'dilutions MFC_ChS'!$E$6:$E$24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6.8</c:v>
                </c:pt>
                <c:pt idx="14">
                  <c:v>49.1</c:v>
                </c:pt>
                <c:pt idx="15">
                  <c:v>5.8</c:v>
                </c:pt>
                <c:pt idx="16">
                  <c:v>4.0999999999999996</c:v>
                </c:pt>
                <c:pt idx="17">
                  <c:v>2.9</c:v>
                </c:pt>
                <c:pt idx="18">
                  <c:v>1.9</c:v>
                </c:pt>
              </c:numCache>
            </c:numRef>
          </c:xVal>
          <c:yVal>
            <c:numRef>
              <c:f>'dilutions MFC_ChS'!$F$6:$F$24</c:f>
              <c:numCache>
                <c:formatCode>General</c:formatCode>
                <c:ptCount val="19"/>
                <c:pt idx="0">
                  <c:v>101</c:v>
                </c:pt>
                <c:pt idx="1">
                  <c:v>203</c:v>
                </c:pt>
                <c:pt idx="2">
                  <c:v>304</c:v>
                </c:pt>
                <c:pt idx="3">
                  <c:v>405</c:v>
                </c:pt>
                <c:pt idx="4">
                  <c:v>505</c:v>
                </c:pt>
                <c:pt idx="5">
                  <c:v>606</c:v>
                </c:pt>
                <c:pt idx="6">
                  <c:v>706</c:v>
                </c:pt>
                <c:pt idx="7">
                  <c:v>806</c:v>
                </c:pt>
                <c:pt idx="8">
                  <c:v>906</c:v>
                </c:pt>
                <c:pt idx="9">
                  <c:v>1007</c:v>
                </c:pt>
                <c:pt idx="10">
                  <c:v>30</c:v>
                </c:pt>
                <c:pt idx="11">
                  <c:v>51</c:v>
                </c:pt>
                <c:pt idx="12">
                  <c:v>81</c:v>
                </c:pt>
                <c:pt idx="13">
                  <c:v>69</c:v>
                </c:pt>
                <c:pt idx="14">
                  <c:v>494</c:v>
                </c:pt>
                <c:pt idx="15">
                  <c:v>58</c:v>
                </c:pt>
                <c:pt idx="16">
                  <c:v>42</c:v>
                </c:pt>
                <c:pt idx="17">
                  <c:v>30</c:v>
                </c:pt>
                <c:pt idx="18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EE-4190-8896-775F20F9F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43760"/>
        <c:axId val="380544152"/>
      </c:scatterChart>
      <c:valAx>
        <c:axId val="380543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44152"/>
        <c:crosses val="autoZero"/>
        <c:crossBetween val="midCat"/>
      </c:valAx>
      <c:valAx>
        <c:axId val="38054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 mL/min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4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Flow=f(%) for MFC 0-200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'dilutions MFC_ChS'!$I$6:$I$15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3</c:v>
                </c:pt>
                <c:pt idx="5">
                  <c:v>5</c:v>
                </c:pt>
                <c:pt idx="6">
                  <c:v>7.4</c:v>
                </c:pt>
                <c:pt idx="7">
                  <c:v>15.8</c:v>
                </c:pt>
                <c:pt idx="8">
                  <c:v>20.8</c:v>
                </c:pt>
                <c:pt idx="9">
                  <c:v>29.8</c:v>
                </c:pt>
              </c:numCache>
            </c:numRef>
          </c:xVal>
          <c:yVal>
            <c:numRef>
              <c:f>'dilutions MFC_ChS'!$J$6:$J$15</c:f>
              <c:numCache>
                <c:formatCode>General</c:formatCode>
                <c:ptCount val="10"/>
                <c:pt idx="0">
                  <c:v>20.399999999999999</c:v>
                </c:pt>
                <c:pt idx="1">
                  <c:v>40.5</c:v>
                </c:pt>
                <c:pt idx="2">
                  <c:v>60.5</c:v>
                </c:pt>
                <c:pt idx="3">
                  <c:v>80.7</c:v>
                </c:pt>
                <c:pt idx="4">
                  <c:v>6.1</c:v>
                </c:pt>
                <c:pt idx="5">
                  <c:v>10.3</c:v>
                </c:pt>
                <c:pt idx="6">
                  <c:v>15.1</c:v>
                </c:pt>
                <c:pt idx="7">
                  <c:v>32</c:v>
                </c:pt>
                <c:pt idx="8">
                  <c:v>42</c:v>
                </c:pt>
                <c:pt idx="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77-4F0E-A5E4-60683CD62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44936"/>
        <c:axId val="380545328"/>
      </c:scatterChart>
      <c:valAx>
        <c:axId val="380544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45328"/>
        <c:crosses val="autoZero"/>
        <c:crossBetween val="midCat"/>
      </c:valAx>
      <c:valAx>
        <c:axId val="38054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 mL/min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44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DMDS</a:t>
            </a:r>
          </a:p>
        </c:rich>
      </c:tx>
      <c:layout>
        <c:manualLayout>
          <c:xMode val="edge"/>
          <c:yMode val="edge"/>
          <c:x val="0.46139526095714628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8.6503070265321294E-2"/>
          <c:w val="0.78996224025783601"/>
          <c:h val="0.72703241787076689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ChS_Response_curves!$I$15:$I$19</c:f>
              <c:numCache>
                <c:formatCode>0.00000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ChS_Response_curves!$E$15:$E$19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32-45E1-A923-DBBA66E59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46112"/>
        <c:axId val="380546504"/>
      </c:scatterChart>
      <c:valAx>
        <c:axId val="3805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380546504"/>
        <c:crosses val="autoZero"/>
        <c:crossBetween val="midCat"/>
      </c:valAx>
      <c:valAx>
        <c:axId val="3805465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0546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6930462851879474E-2"/>
          <c:y val="0.91610342587025928"/>
          <c:w val="0.17950787075755598"/>
          <c:h val="8.389666513359424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DMDS</a:t>
            </a:r>
          </a:p>
        </c:rich>
      </c:tx>
      <c:layout>
        <c:manualLayout>
          <c:xMode val="edge"/>
          <c:yMode val="edge"/>
          <c:x val="0.46139526095714628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8.6503070265321294E-2"/>
          <c:w val="0.78996224025783601"/>
          <c:h val="0.72703241787076689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ChS_Response_curves!$I$33:$I$37</c:f>
              <c:numCache>
                <c:formatCode>0.00000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ChS_Response_curves!$E$33:$E$37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85-4535-8B44-AAD1347D6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49408"/>
        <c:axId val="381349800"/>
      </c:scatterChart>
      <c:valAx>
        <c:axId val="38134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381349800"/>
        <c:crosses val="autoZero"/>
        <c:crossBetween val="midCat"/>
      </c:valAx>
      <c:valAx>
        <c:axId val="3813498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134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6930462851879474E-2"/>
          <c:y val="0.91610342587025928"/>
          <c:w val="0.17950787075755598"/>
          <c:h val="8.389666513359424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MeSH</a:t>
            </a:r>
          </a:p>
        </c:rich>
      </c:tx>
      <c:layout>
        <c:manualLayout>
          <c:xMode val="edge"/>
          <c:yMode val="edge"/>
          <c:x val="0.46139526095714639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9.0489374312081955E-2"/>
          <c:w val="0.80946084664484252"/>
          <c:h val="0.69724900516467703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0.35886342012043326"/>
                  <c:y val="-1.869570809434417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ChS_Response_curves!$I$106:$I$109</c:f>
              <c:numCache>
                <c:formatCode>0.00000</c:formatCode>
                <c:ptCount val="4"/>
                <c:pt idx="0">
                  <c:v>2.8541512857142854</c:v>
                </c:pt>
                <c:pt idx="1">
                  <c:v>0.86845933333333336</c:v>
                </c:pt>
                <c:pt idx="2">
                  <c:v>0.28444140000000001</c:v>
                </c:pt>
                <c:pt idx="3">
                  <c:v>0.18953249999999999</c:v>
                </c:pt>
              </c:numCache>
            </c:numRef>
          </c:xVal>
          <c:yVal>
            <c:numRef>
              <c:f>ChS_Response_curves!$E$106:$E$109</c:f>
              <c:numCache>
                <c:formatCode>0.0000</c:formatCode>
                <c:ptCount val="4"/>
                <c:pt idx="0">
                  <c:v>0.48692363144758732</c:v>
                </c:pt>
                <c:pt idx="1">
                  <c:v>0.30621094425956741</c:v>
                </c:pt>
                <c:pt idx="2">
                  <c:v>0.15529683860232943</c:v>
                </c:pt>
                <c:pt idx="3">
                  <c:v>7.8689068219633937E-2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EB-4D55-9F37-A2081873C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50584"/>
        <c:axId val="381350976"/>
      </c:scatterChart>
      <c:valAx>
        <c:axId val="38135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381350976"/>
        <c:crosses val="autoZero"/>
        <c:crossBetween val="midCat"/>
      </c:valAx>
      <c:valAx>
        <c:axId val="3813509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1350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4330648666945268E-2"/>
          <c:y val="0.89656896113792228"/>
          <c:w val="0.20294194843291646"/>
          <c:h val="0.103431104098934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EtSH</a:t>
            </a:r>
          </a:p>
        </c:rich>
      </c:tx>
      <c:layout>
        <c:manualLayout>
          <c:xMode val="edge"/>
          <c:yMode val="edge"/>
          <c:x val="0.46139526095714639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9.0489374312081955E-2"/>
          <c:w val="0.80946084664484252"/>
          <c:h val="0.69724900516467703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2.9868847763285918E-2"/>
                  <c:y val="-1.937704164306363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ChS_Response_curves!$I$122:$I$126</c:f>
              <c:numCache>
                <c:formatCode>0.00000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ChS_Response_curves!$E$122:$E$126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F0-4694-B237-A87028B75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51760"/>
        <c:axId val="381352152"/>
      </c:scatterChart>
      <c:valAx>
        <c:axId val="38135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381352152"/>
        <c:crosses val="autoZero"/>
        <c:crossBetween val="midCat"/>
      </c:valAx>
      <c:valAx>
        <c:axId val="3813521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81351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4330648666945268E-2"/>
          <c:y val="0.89656896113792228"/>
          <c:w val="0.17837908991658846"/>
          <c:h val="0.103431120387288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CS2</a:t>
            </a:r>
          </a:p>
        </c:rich>
      </c:tx>
      <c:layout>
        <c:manualLayout>
          <c:xMode val="edge"/>
          <c:yMode val="edge"/>
          <c:x val="0.46139526095714639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9.0489374312081955E-2"/>
          <c:w val="0.80946084664484252"/>
          <c:h val="0.69724900516467703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0.25145004545671013"/>
                  <c:y val="-5.7052433362610958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ChS_Response_curves!$I$153:$I$157</c:f>
              <c:numCache>
                <c:formatCode>0.00000</c:formatCode>
                <c:ptCount val="5"/>
                <c:pt idx="0">
                  <c:v>2.1724649999999999</c:v>
                </c:pt>
                <c:pt idx="1">
                  <c:v>3.3821084000000003</c:v>
                </c:pt>
                <c:pt idx="2">
                  <c:v>4.5137266666666669</c:v>
                </c:pt>
                <c:pt idx="3">
                  <c:v>5.7623147499999998</c:v>
                </c:pt>
                <c:pt idx="4">
                  <c:v>8.9764907999999988</c:v>
                </c:pt>
              </c:numCache>
            </c:numRef>
          </c:xVal>
          <c:yVal>
            <c:numRef>
              <c:f>ChS_Response_curves!$E$153:$E$157</c:f>
              <c:numCache>
                <c:formatCode>0.0000</c:formatCode>
                <c:ptCount val="5"/>
                <c:pt idx="0">
                  <c:v>0.21160205490848588</c:v>
                </c:pt>
                <c:pt idx="1">
                  <c:v>0.2745664143094842</c:v>
                </c:pt>
                <c:pt idx="2">
                  <c:v>0.31862246256239596</c:v>
                </c:pt>
                <c:pt idx="3">
                  <c:v>0.36898128119800333</c:v>
                </c:pt>
                <c:pt idx="4">
                  <c:v>0.46336447587354412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CB-46BA-9F79-72E0A2119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370832"/>
        <c:axId val="282371224"/>
      </c:scatterChart>
      <c:valAx>
        <c:axId val="28237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282371224"/>
        <c:crosses val="autoZero"/>
        <c:crossBetween val="midCat"/>
      </c:valAx>
      <c:valAx>
        <c:axId val="2823712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282370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4330648666945268E-2"/>
          <c:y val="0.89656896113792228"/>
          <c:w val="0.18830489848736351"/>
          <c:h val="0.1012826989667447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DMS</a:t>
            </a:r>
          </a:p>
        </c:rich>
      </c:tx>
      <c:layout>
        <c:manualLayout>
          <c:xMode val="edge"/>
          <c:yMode val="edge"/>
          <c:x val="0.46139526095714639"/>
          <c:y val="1.3866288940706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10980612039248"/>
          <c:y val="9.0489374312081955E-2"/>
          <c:w val="0.80946084664484252"/>
          <c:h val="0.69724900516467703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0.42189078870802904"/>
                  <c:y val="-8.1742574086296916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fr-FR"/>
                </a:p>
              </c:txPr>
            </c:trendlineLbl>
          </c:trendline>
          <c:xVal>
            <c:numRef>
              <c:f>ChS_Response_curves!$I$139:$I$142</c:f>
              <c:numCache>
                <c:formatCode>0.00000</c:formatCode>
                <c:ptCount val="4"/>
                <c:pt idx="0">
                  <c:v>6.3462265714285717</c:v>
                </c:pt>
                <c:pt idx="1">
                  <c:v>2.0783638333333334</c:v>
                </c:pt>
                <c:pt idx="2">
                  <c:v>0.7395681999999999</c:v>
                </c:pt>
                <c:pt idx="3">
                  <c:v>0.48057883333333329</c:v>
                </c:pt>
              </c:numCache>
            </c:numRef>
          </c:xVal>
          <c:yVal>
            <c:numRef>
              <c:f>ChS_Response_curves!$E$139:$E$142</c:f>
              <c:numCache>
                <c:formatCode>0.0000</c:formatCode>
                <c:ptCount val="4"/>
                <c:pt idx="0">
                  <c:v>0.80758662229617317</c:v>
                </c:pt>
                <c:pt idx="1">
                  <c:v>0.50786881447587362</c:v>
                </c:pt>
                <c:pt idx="2">
                  <c:v>0.25759139351081534</c:v>
                </c:pt>
                <c:pt idx="3">
                  <c:v>0.13048850665557404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5B-435E-8785-5DE3D1340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372008"/>
        <c:axId val="282372400"/>
      </c:scatterChart>
      <c:valAx>
        <c:axId val="28237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Area/BS</a:t>
                </a:r>
              </a:p>
            </c:rich>
          </c:tx>
          <c:overlay val="0"/>
        </c:title>
        <c:numFmt formatCode="0.00000" sourceLinked="1"/>
        <c:majorTickMark val="out"/>
        <c:minorTickMark val="none"/>
        <c:tickLblPos val="nextTo"/>
        <c:crossAx val="282372400"/>
        <c:crosses val="autoZero"/>
        <c:crossBetween val="midCat"/>
      </c:valAx>
      <c:valAx>
        <c:axId val="2823724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C(mg/m3)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282372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3.4330648666945268E-2"/>
          <c:y val="0.89656896113792228"/>
          <c:w val="0.16681381557565172"/>
          <c:h val="0.1034310023828764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582706</xdr:colOff>
      <xdr:row>31</xdr:row>
      <xdr:rowOff>124624</xdr:rowOff>
    </xdr:from>
    <xdr:to>
      <xdr:col>3</xdr:col>
      <xdr:colOff>224117</xdr:colOff>
      <xdr:row>44</xdr:row>
      <xdr:rowOff>172291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522090</xdr:colOff>
      <xdr:row>31</xdr:row>
      <xdr:rowOff>11205</xdr:rowOff>
    </xdr:from>
    <xdr:to>
      <xdr:col>7</xdr:col>
      <xdr:colOff>33618</xdr:colOff>
      <xdr:row>44</xdr:row>
      <xdr:rowOff>130549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526676</xdr:colOff>
      <xdr:row>30</xdr:row>
      <xdr:rowOff>78441</xdr:rowOff>
    </xdr:from>
    <xdr:to>
      <xdr:col>12</xdr:col>
      <xdr:colOff>363174</xdr:colOff>
      <xdr:row>44</xdr:row>
      <xdr:rowOff>7285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48</xdr:row>
      <xdr:rowOff>96882</xdr:rowOff>
    </xdr:from>
    <xdr:to>
      <xdr:col>6</xdr:col>
      <xdr:colOff>725137</xdr:colOff>
      <xdr:row>68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D0EDCB4-085F-AC95-0963-8B8B85A3A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9164682"/>
          <a:ext cx="5420962" cy="38274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41</xdr:row>
      <xdr:rowOff>47624</xdr:rowOff>
    </xdr:from>
    <xdr:to>
      <xdr:col>9</xdr:col>
      <xdr:colOff>344426</xdr:colOff>
      <xdr:row>65</xdr:row>
      <xdr:rowOff>35718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EA6E975-9B23-5291-D19B-4783323DC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031" y="7858124"/>
          <a:ext cx="6523770" cy="45600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68035</xdr:colOff>
      <xdr:row>8</xdr:row>
      <xdr:rowOff>70108</xdr:rowOff>
    </xdr:from>
    <xdr:to>
      <xdr:col>28</xdr:col>
      <xdr:colOff>101827</xdr:colOff>
      <xdr:row>24</xdr:row>
      <xdr:rowOff>108856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176893</xdr:colOff>
      <xdr:row>26</xdr:row>
      <xdr:rowOff>46304</xdr:rowOff>
    </xdr:from>
    <xdr:to>
      <xdr:col>28</xdr:col>
      <xdr:colOff>151584</xdr:colOff>
      <xdr:row>42</xdr:row>
      <xdr:rowOff>54427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113960</xdr:colOff>
      <xdr:row>97</xdr:row>
      <xdr:rowOff>164450</xdr:rowOff>
    </xdr:from>
    <xdr:to>
      <xdr:col>26</xdr:col>
      <xdr:colOff>530679</xdr:colOff>
      <xdr:row>114</xdr:row>
      <xdr:rowOff>123898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27213</xdr:colOff>
      <xdr:row>117</xdr:row>
      <xdr:rowOff>23870</xdr:rowOff>
    </xdr:from>
    <xdr:to>
      <xdr:col>28</xdr:col>
      <xdr:colOff>122462</xdr:colOff>
      <xdr:row>132</xdr:row>
      <xdr:rowOff>108857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13610</xdr:colOff>
      <xdr:row>150</xdr:row>
      <xdr:rowOff>40821</xdr:rowOff>
    </xdr:from>
    <xdr:to>
      <xdr:col>27</xdr:col>
      <xdr:colOff>326571</xdr:colOff>
      <xdr:row>172</xdr:row>
      <xdr:rowOff>176894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35718</xdr:colOff>
      <xdr:row>132</xdr:row>
      <xdr:rowOff>130968</xdr:rowOff>
    </xdr:from>
    <xdr:to>
      <xdr:col>28</xdr:col>
      <xdr:colOff>47624</xdr:colOff>
      <xdr:row>150</xdr:row>
      <xdr:rowOff>59531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343582</xdr:colOff>
      <xdr:row>79</xdr:row>
      <xdr:rowOff>125867</xdr:rowOff>
    </xdr:from>
    <xdr:to>
      <xdr:col>27</xdr:col>
      <xdr:colOff>377374</xdr:colOff>
      <xdr:row>97</xdr:row>
      <xdr:rowOff>23440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404812</xdr:colOff>
      <xdr:row>39</xdr:row>
      <xdr:rowOff>178594</xdr:rowOff>
    </xdr:from>
    <xdr:to>
      <xdr:col>27</xdr:col>
      <xdr:colOff>449036</xdr:colOff>
      <xdr:row>57</xdr:row>
      <xdr:rowOff>40823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95250</xdr:colOff>
      <xdr:row>57</xdr:row>
      <xdr:rowOff>95251</xdr:rowOff>
    </xdr:from>
    <xdr:to>
      <xdr:col>28</xdr:col>
      <xdr:colOff>164987</xdr:colOff>
      <xdr:row>79</xdr:row>
      <xdr:rowOff>79142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40"/>
  <sheetViews>
    <sheetView topLeftCell="A31" zoomScale="85" zoomScaleNormal="85" workbookViewId="0">
      <selection activeCell="D54" sqref="D54"/>
    </sheetView>
  </sheetViews>
  <sheetFormatPr baseColWidth="10" defaultRowHeight="15" x14ac:dyDescent="0.25"/>
  <cols>
    <col min="1" max="1" width="14.28515625" bestFit="1" customWidth="1"/>
    <col min="2" max="2" width="34.28515625" customWidth="1"/>
    <col min="3" max="4" width="24.85546875" customWidth="1"/>
    <col min="5" max="5" width="15.28515625" customWidth="1"/>
    <col min="6" max="6" width="25.42578125" customWidth="1"/>
    <col min="7" max="7" width="15.28515625" customWidth="1"/>
    <col min="8" max="8" width="11.42578125" customWidth="1"/>
    <col min="9" max="9" width="14.28515625" customWidth="1"/>
    <col min="10" max="10" width="21" customWidth="1"/>
  </cols>
  <sheetData>
    <row r="2" spans="1:10" ht="18.75" x14ac:dyDescent="0.3">
      <c r="B2" s="11" t="s">
        <v>22</v>
      </c>
      <c r="E2" s="11" t="s">
        <v>56</v>
      </c>
      <c r="I2" s="11" t="s">
        <v>22</v>
      </c>
    </row>
    <row r="3" spans="1:10" x14ac:dyDescent="0.25">
      <c r="A3" t="s">
        <v>16</v>
      </c>
      <c r="B3" t="s">
        <v>21</v>
      </c>
      <c r="E3" t="s">
        <v>24</v>
      </c>
      <c r="I3" t="s">
        <v>66</v>
      </c>
    </row>
    <row r="5" spans="1:10" ht="45" x14ac:dyDescent="0.25">
      <c r="B5" s="4" t="s">
        <v>15</v>
      </c>
      <c r="C5" s="97" t="s">
        <v>67</v>
      </c>
      <c r="D5" s="2"/>
      <c r="E5" s="4" t="s">
        <v>15</v>
      </c>
      <c r="F5" s="97" t="s">
        <v>67</v>
      </c>
      <c r="I5" s="4" t="s">
        <v>15</v>
      </c>
      <c r="J5" s="97" t="s">
        <v>67</v>
      </c>
    </row>
    <row r="6" spans="1:10" x14ac:dyDescent="0.25">
      <c r="B6" s="8">
        <v>10</v>
      </c>
      <c r="C6" s="8">
        <v>1.04</v>
      </c>
      <c r="D6" s="13"/>
      <c r="E6" s="8">
        <v>10</v>
      </c>
      <c r="F6" s="8">
        <v>101</v>
      </c>
      <c r="I6" s="8">
        <v>10</v>
      </c>
      <c r="J6" s="8">
        <v>20.399999999999999</v>
      </c>
    </row>
    <row r="7" spans="1:10" x14ac:dyDescent="0.25">
      <c r="B7" s="8">
        <v>20</v>
      </c>
      <c r="C7" s="8">
        <v>2.04</v>
      </c>
      <c r="D7" s="13"/>
      <c r="E7" s="8">
        <v>20</v>
      </c>
      <c r="F7" s="8">
        <v>203</v>
      </c>
      <c r="I7" s="8">
        <v>20</v>
      </c>
      <c r="J7" s="8">
        <v>40.5</v>
      </c>
    </row>
    <row r="8" spans="1:10" x14ac:dyDescent="0.25">
      <c r="B8" s="8">
        <v>30</v>
      </c>
      <c r="C8" s="8">
        <v>3.04</v>
      </c>
      <c r="D8" s="13"/>
      <c r="E8" s="8">
        <v>30</v>
      </c>
      <c r="F8" s="8">
        <v>304</v>
      </c>
      <c r="I8" s="8">
        <v>30</v>
      </c>
      <c r="J8" s="8">
        <v>60.5</v>
      </c>
    </row>
    <row r="9" spans="1:10" x14ac:dyDescent="0.25">
      <c r="B9" s="8">
        <v>40</v>
      </c>
      <c r="C9" s="8">
        <v>4.04</v>
      </c>
      <c r="D9" s="13"/>
      <c r="E9" s="8">
        <v>40</v>
      </c>
      <c r="F9" s="8">
        <v>405</v>
      </c>
      <c r="I9" s="8">
        <v>40</v>
      </c>
      <c r="J9" s="8">
        <v>80.7</v>
      </c>
    </row>
    <row r="10" spans="1:10" x14ac:dyDescent="0.25">
      <c r="B10" s="8">
        <v>50</v>
      </c>
      <c r="C10" s="8">
        <v>5.04</v>
      </c>
      <c r="D10" s="13"/>
      <c r="E10" s="8">
        <v>50</v>
      </c>
      <c r="F10" s="8">
        <v>505</v>
      </c>
      <c r="I10" s="8">
        <v>3</v>
      </c>
      <c r="J10" s="8">
        <v>6.1</v>
      </c>
    </row>
    <row r="11" spans="1:10" x14ac:dyDescent="0.25">
      <c r="B11" s="8">
        <v>60</v>
      </c>
      <c r="C11" s="8">
        <v>6.04</v>
      </c>
      <c r="D11" s="13"/>
      <c r="E11" s="8">
        <v>60</v>
      </c>
      <c r="F11" s="8">
        <v>606</v>
      </c>
      <c r="I11" s="8">
        <v>5</v>
      </c>
      <c r="J11" s="8">
        <v>10.3</v>
      </c>
    </row>
    <row r="12" spans="1:10" x14ac:dyDescent="0.25">
      <c r="B12" s="8">
        <v>70</v>
      </c>
      <c r="C12" s="8">
        <v>7.04</v>
      </c>
      <c r="D12" s="13"/>
      <c r="E12" s="8">
        <v>70</v>
      </c>
      <c r="F12" s="8">
        <v>706</v>
      </c>
      <c r="I12" s="8">
        <v>7.4</v>
      </c>
      <c r="J12" s="8">
        <v>15.1</v>
      </c>
    </row>
    <row r="13" spans="1:10" x14ac:dyDescent="0.25">
      <c r="B13" s="8">
        <v>80</v>
      </c>
      <c r="C13" s="8">
        <v>8.0500000000000007</v>
      </c>
      <c r="D13" s="13"/>
      <c r="E13" s="8">
        <v>80</v>
      </c>
      <c r="F13" s="8">
        <v>806</v>
      </c>
      <c r="I13" s="8">
        <v>15.8</v>
      </c>
      <c r="J13" s="8">
        <v>32</v>
      </c>
    </row>
    <row r="14" spans="1:10" x14ac:dyDescent="0.25">
      <c r="B14" s="8">
        <v>90</v>
      </c>
      <c r="C14" s="8">
        <v>9.0500000000000007</v>
      </c>
      <c r="D14" s="13"/>
      <c r="E14" s="8">
        <v>90</v>
      </c>
      <c r="F14" s="8">
        <v>906</v>
      </c>
      <c r="I14" s="8">
        <v>20.8</v>
      </c>
      <c r="J14" s="8">
        <v>42</v>
      </c>
    </row>
    <row r="15" spans="1:10" x14ac:dyDescent="0.25">
      <c r="B15" s="8">
        <v>100</v>
      </c>
      <c r="C15" s="8">
        <v>10.050000000000001</v>
      </c>
      <c r="D15" s="13"/>
      <c r="E15" s="8">
        <v>100</v>
      </c>
      <c r="F15" s="8">
        <v>1007</v>
      </c>
      <c r="I15" s="8">
        <v>29.8</v>
      </c>
      <c r="J15" s="8">
        <v>60</v>
      </c>
    </row>
    <row r="16" spans="1:10" x14ac:dyDescent="0.25">
      <c r="B16" s="8"/>
      <c r="C16" s="8"/>
      <c r="D16" s="13"/>
      <c r="E16" s="8">
        <v>3</v>
      </c>
      <c r="F16" s="8">
        <v>30</v>
      </c>
      <c r="I16" s="8"/>
      <c r="J16" s="8"/>
    </row>
    <row r="17" spans="2:10" x14ac:dyDescent="0.25">
      <c r="B17" s="8"/>
      <c r="C17" s="8"/>
      <c r="D17" s="13"/>
      <c r="E17" s="8">
        <v>5</v>
      </c>
      <c r="F17" s="8">
        <v>51</v>
      </c>
      <c r="I17" s="8"/>
      <c r="J17" s="8"/>
    </row>
    <row r="18" spans="2:10" x14ac:dyDescent="0.25">
      <c r="B18" s="8"/>
      <c r="C18" s="8"/>
      <c r="D18" s="13"/>
      <c r="E18" s="8">
        <v>8</v>
      </c>
      <c r="F18" s="8">
        <v>81</v>
      </c>
      <c r="I18" s="8"/>
      <c r="J18" s="8"/>
    </row>
    <row r="19" spans="2:10" x14ac:dyDescent="0.25">
      <c r="B19" s="8"/>
      <c r="C19" s="8"/>
      <c r="D19" s="13"/>
      <c r="E19" s="8">
        <v>6.8</v>
      </c>
      <c r="F19" s="8">
        <v>69</v>
      </c>
      <c r="I19" s="8"/>
      <c r="J19" s="8"/>
    </row>
    <row r="20" spans="2:10" x14ac:dyDescent="0.25">
      <c r="B20" s="8"/>
      <c r="C20" s="8"/>
      <c r="D20" s="13"/>
      <c r="E20" s="8">
        <v>49.1</v>
      </c>
      <c r="F20" s="8">
        <v>494</v>
      </c>
      <c r="I20" s="8"/>
      <c r="J20" s="8"/>
    </row>
    <row r="21" spans="2:10" x14ac:dyDescent="0.25">
      <c r="B21" s="8"/>
      <c r="C21" s="8"/>
      <c r="D21" s="13"/>
      <c r="E21" s="8">
        <v>5.8</v>
      </c>
      <c r="F21" s="8">
        <v>58</v>
      </c>
      <c r="I21" s="8"/>
      <c r="J21" s="8"/>
    </row>
    <row r="22" spans="2:10" x14ac:dyDescent="0.25">
      <c r="B22" s="8"/>
      <c r="C22" s="8"/>
      <c r="D22" s="13"/>
      <c r="E22" s="8">
        <v>4.0999999999999996</v>
      </c>
      <c r="F22" s="8">
        <v>42</v>
      </c>
      <c r="I22" s="8"/>
      <c r="J22" s="8"/>
    </row>
    <row r="23" spans="2:10" x14ac:dyDescent="0.25">
      <c r="B23" s="8"/>
      <c r="C23" s="8"/>
      <c r="D23" s="13"/>
      <c r="E23" s="8">
        <v>2.9</v>
      </c>
      <c r="F23" s="8">
        <v>30</v>
      </c>
      <c r="I23" s="8"/>
      <c r="J23" s="8"/>
    </row>
    <row r="24" spans="2:10" x14ac:dyDescent="0.25">
      <c r="B24" s="8"/>
      <c r="C24" s="8"/>
      <c r="D24" s="13"/>
      <c r="E24" s="8">
        <v>1.9</v>
      </c>
      <c r="F24" s="8">
        <v>20</v>
      </c>
      <c r="I24" s="8"/>
      <c r="J24" s="8"/>
    </row>
    <row r="25" spans="2:10" x14ac:dyDescent="0.25">
      <c r="B25" s="8"/>
      <c r="C25" s="8"/>
      <c r="D25" s="13"/>
      <c r="E25" s="8"/>
      <c r="F25" s="8"/>
    </row>
    <row r="26" spans="2:10" x14ac:dyDescent="0.25">
      <c r="B26" s="13"/>
      <c r="C26" s="13"/>
      <c r="D26" s="13"/>
      <c r="E26" s="13"/>
      <c r="F26" s="13"/>
    </row>
    <row r="27" spans="2:10" x14ac:dyDescent="0.25">
      <c r="B27" s="2" t="s">
        <v>4</v>
      </c>
      <c r="C27" s="2"/>
      <c r="D27" s="13"/>
      <c r="E27" s="2" t="s">
        <v>4</v>
      </c>
      <c r="F27" s="2"/>
      <c r="I27" s="2" t="s">
        <v>4</v>
      </c>
    </row>
    <row r="28" spans="2:10" x14ac:dyDescent="0.25">
      <c r="B28" s="2" t="s">
        <v>5</v>
      </c>
      <c r="C28" s="15">
        <f>LINEST(C6:C15,B6:B15)</f>
        <v>0.10012727272727276</v>
      </c>
      <c r="D28" s="13"/>
      <c r="E28" s="2" t="s">
        <v>5</v>
      </c>
      <c r="F28" s="15">
        <f>LINEST(F6:F24,E6:E24)</f>
        <v>10.069369815922046</v>
      </c>
      <c r="I28" s="2" t="s">
        <v>5</v>
      </c>
      <c r="J28" s="15">
        <f>LINEST(J6:J15,I6:I15)</f>
        <v>2.0109752458720966</v>
      </c>
    </row>
    <row r="29" spans="2:10" x14ac:dyDescent="0.25">
      <c r="B29" s="2" t="s">
        <v>6</v>
      </c>
      <c r="C29" s="15">
        <f>INTERCEPT(C6:C15,B6:B15)</f>
        <v>3.59999999999987E-2</v>
      </c>
      <c r="D29" s="13"/>
      <c r="E29" s="2" t="s">
        <v>6</v>
      </c>
      <c r="F29" s="15">
        <f>INTERCEPT(F6:F24,E6:E24)</f>
        <v>0.72837764126455795</v>
      </c>
      <c r="I29" s="2" t="s">
        <v>6</v>
      </c>
      <c r="J29" s="15">
        <f>INTERCEPT(J6:J15,I6:I15)</f>
        <v>0.20047003004528818</v>
      </c>
    </row>
    <row r="30" spans="2:10" x14ac:dyDescent="0.25">
      <c r="B30" s="16" t="s">
        <v>23</v>
      </c>
      <c r="C30" s="13"/>
      <c r="D30" s="13"/>
      <c r="E30" s="13"/>
      <c r="F30" s="13"/>
    </row>
    <row r="31" spans="2:10" x14ac:dyDescent="0.25">
      <c r="B31" s="13"/>
      <c r="C31" s="13"/>
      <c r="D31" s="13"/>
      <c r="E31" s="13"/>
      <c r="F31" s="13"/>
    </row>
    <row r="32" spans="2:10" x14ac:dyDescent="0.25">
      <c r="B32" s="13"/>
      <c r="C32" s="13"/>
      <c r="D32" s="13"/>
      <c r="E32" s="13"/>
      <c r="F32" s="13"/>
    </row>
    <row r="33" spans="2:6" x14ac:dyDescent="0.25">
      <c r="B33" s="13"/>
      <c r="C33" s="13"/>
      <c r="D33" s="13"/>
      <c r="E33" s="13"/>
      <c r="F33" s="13"/>
    </row>
    <row r="34" spans="2:6" x14ac:dyDescent="0.25">
      <c r="B34" s="13"/>
      <c r="C34" s="13"/>
      <c r="D34" s="13"/>
      <c r="E34" s="13"/>
      <c r="F34" s="13"/>
    </row>
    <row r="35" spans="2:6" x14ac:dyDescent="0.25">
      <c r="B35" s="13"/>
      <c r="C35" s="13"/>
      <c r="D35" s="13"/>
      <c r="E35" s="13"/>
      <c r="F35" s="13"/>
    </row>
    <row r="36" spans="2:6" x14ac:dyDescent="0.25">
      <c r="B36" s="13"/>
      <c r="C36" s="13"/>
      <c r="D36" s="13"/>
      <c r="E36" s="13"/>
      <c r="F36" s="13"/>
    </row>
    <row r="37" spans="2:6" x14ac:dyDescent="0.25">
      <c r="B37" s="13"/>
      <c r="C37" s="13"/>
      <c r="D37" s="13"/>
      <c r="E37" s="13"/>
      <c r="F37" s="13"/>
    </row>
    <row r="38" spans="2:6" x14ac:dyDescent="0.25">
      <c r="B38" s="13"/>
      <c r="C38" s="13"/>
      <c r="D38" s="13"/>
      <c r="E38" s="13"/>
      <c r="F38" s="13"/>
    </row>
    <row r="39" spans="2:6" x14ac:dyDescent="0.25">
      <c r="B39" s="13"/>
      <c r="C39" s="13"/>
      <c r="D39" s="13"/>
      <c r="E39" s="13"/>
      <c r="F39" s="13"/>
    </row>
    <row r="40" spans="2:6" x14ac:dyDescent="0.25">
      <c r="B40" s="13"/>
      <c r="C40" s="13"/>
      <c r="D40" s="13"/>
      <c r="E40" s="13"/>
      <c r="F40" s="13"/>
    </row>
    <row r="41" spans="2:6" x14ac:dyDescent="0.25">
      <c r="B41" s="13"/>
      <c r="C41" s="13"/>
      <c r="D41" s="13"/>
      <c r="E41" s="13"/>
      <c r="F41" s="13"/>
    </row>
    <row r="42" spans="2:6" x14ac:dyDescent="0.25">
      <c r="B42" s="13"/>
      <c r="C42" s="13"/>
      <c r="D42" s="13"/>
      <c r="E42" s="13"/>
      <c r="F42" s="13"/>
    </row>
    <row r="50" spans="1:10" x14ac:dyDescent="0.25">
      <c r="D50" s="1"/>
    </row>
    <row r="51" spans="1:10" x14ac:dyDescent="0.25">
      <c r="B51" t="s">
        <v>17</v>
      </c>
    </row>
    <row r="52" spans="1:10" x14ac:dyDescent="0.25">
      <c r="C52" s="3"/>
      <c r="D52" s="4" t="s">
        <v>0</v>
      </c>
      <c r="E52" s="4" t="s">
        <v>1</v>
      </c>
      <c r="F52" s="4" t="s">
        <v>2</v>
      </c>
      <c r="G52" s="4" t="s">
        <v>3</v>
      </c>
      <c r="H52" s="4" t="s">
        <v>7</v>
      </c>
      <c r="I52" s="4" t="s">
        <v>8</v>
      </c>
      <c r="J52" s="4" t="s">
        <v>19</v>
      </c>
    </row>
    <row r="53" spans="1:10" x14ac:dyDescent="0.25">
      <c r="B53" s="13" t="s">
        <v>70</v>
      </c>
      <c r="C53" s="3" t="s">
        <v>9</v>
      </c>
      <c r="D53" s="9">
        <v>8</v>
      </c>
      <c r="E53" s="9">
        <v>8</v>
      </c>
      <c r="F53" s="9">
        <v>16</v>
      </c>
      <c r="G53" s="9">
        <v>20</v>
      </c>
      <c r="H53" s="9">
        <v>35</v>
      </c>
      <c r="I53" s="9">
        <v>34</v>
      </c>
      <c r="J53" s="9"/>
    </row>
    <row r="54" spans="1:10" x14ac:dyDescent="0.25">
      <c r="B54" s="13" t="s">
        <v>69</v>
      </c>
      <c r="C54" s="3" t="s">
        <v>18</v>
      </c>
      <c r="D54" s="9">
        <v>49</v>
      </c>
      <c r="E54" s="9">
        <v>6.8</v>
      </c>
      <c r="F54" s="9">
        <v>5.7</v>
      </c>
      <c r="G54" s="9">
        <v>4</v>
      </c>
      <c r="H54" s="9">
        <v>3.1</v>
      </c>
      <c r="I54" s="9">
        <v>4</v>
      </c>
      <c r="J54" s="9"/>
    </row>
    <row r="55" spans="1:10" x14ac:dyDescent="0.25">
      <c r="C55" s="3" t="s">
        <v>14</v>
      </c>
      <c r="D55" s="10">
        <f>D53*$J$28+$J$29</f>
        <v>16.288271997022061</v>
      </c>
      <c r="E55" s="10">
        <f t="shared" ref="E55:I55" si="0">E53*$J$28+$J$29</f>
        <v>16.288271997022061</v>
      </c>
      <c r="F55" s="10">
        <f t="shared" si="0"/>
        <v>32.376073963998834</v>
      </c>
      <c r="G55" s="10">
        <f t="shared" si="0"/>
        <v>40.419974947487219</v>
      </c>
      <c r="H55" s="10">
        <f t="shared" si="0"/>
        <v>70.584603635568669</v>
      </c>
      <c r="I55" s="10">
        <f t="shared" si="0"/>
        <v>68.57362838969658</v>
      </c>
      <c r="J55" s="10">
        <v>70</v>
      </c>
    </row>
    <row r="56" spans="1:10" x14ac:dyDescent="0.25">
      <c r="C56" s="3" t="s">
        <v>20</v>
      </c>
      <c r="D56" s="10">
        <f>D54*$F$28+$F$29</f>
        <v>494.12749862144483</v>
      </c>
      <c r="E56" s="10">
        <f t="shared" ref="E56" si="1">E54*$F$28+$F$29</f>
        <v>69.200092389534476</v>
      </c>
      <c r="F56" s="10">
        <f t="shared" ref="F56:I56" si="2">F54*$F$28+$F$29</f>
        <v>58.123785592020226</v>
      </c>
      <c r="G56" s="10">
        <f t="shared" si="2"/>
        <v>41.005856904952743</v>
      </c>
      <c r="H56" s="10">
        <f t="shared" si="2"/>
        <v>31.943424070622903</v>
      </c>
      <c r="I56" s="10">
        <f t="shared" si="2"/>
        <v>41.005856904952743</v>
      </c>
      <c r="J56" s="10">
        <v>50</v>
      </c>
    </row>
    <row r="57" spans="1:10" x14ac:dyDescent="0.25">
      <c r="C57" s="3" t="s">
        <v>10</v>
      </c>
      <c r="D57" s="10">
        <f>D55+D56</f>
        <v>510.41577061846687</v>
      </c>
      <c r="E57" s="10">
        <f t="shared" ref="E57:J57" si="3">E55+E56</f>
        <v>85.48836438655654</v>
      </c>
      <c r="F57" s="10">
        <f t="shared" ref="F57:I57" si="4">F55+F56</f>
        <v>90.499859556019061</v>
      </c>
      <c r="G57" s="10">
        <f t="shared" si="4"/>
        <v>81.425831852439956</v>
      </c>
      <c r="H57" s="10">
        <f t="shared" si="4"/>
        <v>102.52802770619158</v>
      </c>
      <c r="I57" s="10">
        <f t="shared" si="4"/>
        <v>109.57948529464932</v>
      </c>
      <c r="J57" s="10">
        <f t="shared" si="3"/>
        <v>120</v>
      </c>
    </row>
    <row r="58" spans="1:10" x14ac:dyDescent="0.25">
      <c r="C58" s="9" t="s">
        <v>81</v>
      </c>
      <c r="D58" s="12" t="s">
        <v>11</v>
      </c>
      <c r="E58" s="12" t="str">
        <f>D58</f>
        <v>C out (ppb)</v>
      </c>
      <c r="F58" s="12" t="str">
        <f t="shared" ref="F58:J58" si="5">E58</f>
        <v>C out (ppb)</v>
      </c>
      <c r="G58" s="12" t="str">
        <f t="shared" si="5"/>
        <v>C out (ppb)</v>
      </c>
      <c r="H58" s="12" t="str">
        <f t="shared" si="5"/>
        <v>C out (ppb)</v>
      </c>
      <c r="I58" s="12" t="str">
        <f t="shared" si="5"/>
        <v>C out (ppb)</v>
      </c>
      <c r="J58" s="12" t="str">
        <f t="shared" si="5"/>
        <v>C out (ppb)</v>
      </c>
    </row>
    <row r="59" spans="1:10" x14ac:dyDescent="0.25">
      <c r="A59" s="117" t="s">
        <v>60</v>
      </c>
      <c r="B59" s="5" t="s">
        <v>25</v>
      </c>
      <c r="C59" s="6">
        <v>476</v>
      </c>
      <c r="D59" s="7">
        <f>$C59*D$55/D$57</f>
        <v>15.190003751623872</v>
      </c>
      <c r="E59" s="7">
        <f t="shared" ref="E59:J66" si="6">$C59*E$55/E$57</f>
        <v>90.693248446355028</v>
      </c>
      <c r="F59" s="7">
        <f t="shared" si="6"/>
        <v>170.28768091429012</v>
      </c>
      <c r="G59" s="7">
        <f t="shared" si="6"/>
        <v>236.28752248881551</v>
      </c>
      <c r="H59" s="7">
        <f t="shared" si="6"/>
        <v>327.69840678893428</v>
      </c>
      <c r="I59" s="7">
        <f t="shared" si="6"/>
        <v>297.8755286696844</v>
      </c>
      <c r="J59" s="7">
        <f t="shared" si="6"/>
        <v>277.66666666666669</v>
      </c>
    </row>
    <row r="60" spans="1:10" x14ac:dyDescent="0.25">
      <c r="A60" s="117"/>
      <c r="B60" s="5" t="s">
        <v>26</v>
      </c>
      <c r="C60" s="6">
        <v>484</v>
      </c>
      <c r="D60" s="7">
        <f t="shared" ref="D60:G66" si="7">$C60*D$55/D$57</f>
        <v>15.445297932323433</v>
      </c>
      <c r="E60" s="7">
        <f t="shared" si="7"/>
        <v>92.217504722764346</v>
      </c>
      <c r="F60" s="7">
        <f t="shared" si="7"/>
        <v>173.14965874478241</v>
      </c>
      <c r="G60" s="7">
        <f t="shared" si="7"/>
        <v>240.25874135417374</v>
      </c>
      <c r="H60" s="7">
        <f t="shared" si="6"/>
        <v>333.20594303748771</v>
      </c>
      <c r="I60" s="7">
        <f t="shared" si="6"/>
        <v>302.88184007589763</v>
      </c>
      <c r="J60" s="7">
        <f t="shared" si="6"/>
        <v>282.33333333333331</v>
      </c>
    </row>
    <row r="61" spans="1:10" x14ac:dyDescent="0.25">
      <c r="A61" s="117"/>
      <c r="B61" s="5" t="s">
        <v>27</v>
      </c>
      <c r="C61" s="6">
        <v>524</v>
      </c>
      <c r="D61" s="7">
        <f t="shared" si="7"/>
        <v>16.721768835821237</v>
      </c>
      <c r="E61" s="7">
        <f t="shared" si="7"/>
        <v>99.838786104810993</v>
      </c>
      <c r="F61" s="7">
        <f t="shared" si="7"/>
        <v>187.45954789724379</v>
      </c>
      <c r="G61" s="7">
        <f t="shared" si="7"/>
        <v>260.11483568096497</v>
      </c>
      <c r="H61" s="7">
        <f t="shared" si="6"/>
        <v>360.74362428025535</v>
      </c>
      <c r="I61" s="7">
        <f t="shared" si="6"/>
        <v>327.91339710696349</v>
      </c>
      <c r="J61" s="7">
        <f t="shared" si="6"/>
        <v>305.66666666666669</v>
      </c>
    </row>
    <row r="62" spans="1:10" x14ac:dyDescent="0.25">
      <c r="A62" s="117"/>
      <c r="B62" s="5" t="s">
        <v>28</v>
      </c>
      <c r="C62" s="6">
        <v>478</v>
      </c>
      <c r="D62" s="7">
        <f t="shared" si="7"/>
        <v>15.253827296798761</v>
      </c>
      <c r="E62" s="7">
        <f t="shared" si="7"/>
        <v>91.074312515457351</v>
      </c>
      <c r="F62" s="7">
        <f t="shared" si="7"/>
        <v>171.00317537191322</v>
      </c>
      <c r="G62" s="7">
        <f t="shared" si="7"/>
        <v>237.28032720515506</v>
      </c>
      <c r="H62" s="7">
        <f t="shared" si="6"/>
        <v>329.07529085107262</v>
      </c>
      <c r="I62" s="7">
        <f t="shared" si="6"/>
        <v>299.12710652123769</v>
      </c>
      <c r="J62" s="7">
        <f t="shared" si="6"/>
        <v>278.83333333333331</v>
      </c>
    </row>
    <row r="63" spans="1:10" x14ac:dyDescent="0.25">
      <c r="A63" s="117"/>
      <c r="B63" s="5" t="s">
        <v>29</v>
      </c>
      <c r="C63" s="6">
        <v>484</v>
      </c>
      <c r="D63" s="7">
        <f t="shared" si="7"/>
        <v>15.445297932323433</v>
      </c>
      <c r="E63" s="7">
        <f t="shared" si="7"/>
        <v>92.217504722764346</v>
      </c>
      <c r="F63" s="7">
        <f t="shared" si="7"/>
        <v>173.14965874478241</v>
      </c>
      <c r="G63" s="7">
        <f t="shared" si="7"/>
        <v>240.25874135417374</v>
      </c>
      <c r="H63" s="7">
        <f t="shared" si="6"/>
        <v>333.20594303748771</v>
      </c>
      <c r="I63" s="7">
        <f t="shared" si="6"/>
        <v>302.88184007589763</v>
      </c>
      <c r="J63" s="7">
        <f t="shared" si="6"/>
        <v>282.33333333333331</v>
      </c>
    </row>
    <row r="64" spans="1:10" x14ac:dyDescent="0.25">
      <c r="A64" s="117"/>
      <c r="B64" s="5" t="s">
        <v>30</v>
      </c>
      <c r="C64" s="6">
        <v>488</v>
      </c>
      <c r="D64" s="7">
        <f t="shared" si="7"/>
        <v>15.572945022673213</v>
      </c>
      <c r="E64" s="7">
        <f t="shared" si="7"/>
        <v>92.979632860969019</v>
      </c>
      <c r="F64" s="7">
        <f t="shared" si="7"/>
        <v>174.58064766002855</v>
      </c>
      <c r="G64" s="7">
        <f t="shared" si="7"/>
        <v>242.24435078685286</v>
      </c>
      <c r="H64" s="7">
        <f t="shared" si="6"/>
        <v>335.95971116176446</v>
      </c>
      <c r="I64" s="7">
        <f t="shared" si="6"/>
        <v>305.38499577900421</v>
      </c>
      <c r="J64" s="7">
        <f t="shared" si="6"/>
        <v>284.66666666666669</v>
      </c>
    </row>
    <row r="65" spans="1:10" x14ac:dyDescent="0.25">
      <c r="A65" s="91" t="s">
        <v>61</v>
      </c>
      <c r="B65" s="90" t="s">
        <v>31</v>
      </c>
      <c r="C65" s="6">
        <v>502</v>
      </c>
      <c r="D65" s="7">
        <f t="shared" si="7"/>
        <v>16.019709838897445</v>
      </c>
      <c r="E65" s="7">
        <f t="shared" si="7"/>
        <v>95.647081344685333</v>
      </c>
      <c r="F65" s="7">
        <f t="shared" si="7"/>
        <v>179.58910886339001</v>
      </c>
      <c r="G65" s="7">
        <f t="shared" si="7"/>
        <v>249.19398380122979</v>
      </c>
      <c r="H65" s="7">
        <f t="shared" si="6"/>
        <v>345.59789959673316</v>
      </c>
      <c r="I65" s="7">
        <f t="shared" si="6"/>
        <v>314.14604073987726</v>
      </c>
      <c r="J65" s="7">
        <f t="shared" si="6"/>
        <v>292.83333333333331</v>
      </c>
    </row>
    <row r="66" spans="1:10" x14ac:dyDescent="0.25">
      <c r="A66" s="91" t="s">
        <v>62</v>
      </c>
      <c r="B66" s="100" t="s">
        <v>64</v>
      </c>
      <c r="C66" s="6">
        <v>500</v>
      </c>
      <c r="D66" s="7">
        <f t="shared" si="7"/>
        <v>15.955886293722553</v>
      </c>
      <c r="E66" s="7">
        <f t="shared" si="7"/>
        <v>95.26601727558301</v>
      </c>
      <c r="F66" s="7">
        <f t="shared" si="7"/>
        <v>178.87361440576694</v>
      </c>
      <c r="G66" s="7">
        <f t="shared" si="7"/>
        <v>248.20117908489027</v>
      </c>
      <c r="H66" s="7">
        <f t="shared" si="6"/>
        <v>344.22101553459476</v>
      </c>
      <c r="I66" s="7">
        <f t="shared" si="6"/>
        <v>312.89446288832391</v>
      </c>
      <c r="J66" s="7">
        <f t="shared" si="6"/>
        <v>291.66666666666669</v>
      </c>
    </row>
    <row r="68" spans="1:10" x14ac:dyDescent="0.25">
      <c r="B68" s="14" t="s">
        <v>36</v>
      </c>
      <c r="C68" s="13"/>
      <c r="D68" s="13">
        <v>8</v>
      </c>
      <c r="E68" s="13">
        <v>12</v>
      </c>
      <c r="F68" s="13">
        <v>8</v>
      </c>
      <c r="G68" s="13">
        <v>8</v>
      </c>
      <c r="H68" s="13">
        <v>10</v>
      </c>
      <c r="I68" s="13"/>
    </row>
    <row r="69" spans="1:10" x14ac:dyDescent="0.25">
      <c r="B69" s="14" t="s">
        <v>35</v>
      </c>
      <c r="C69" s="13"/>
      <c r="D69" s="13">
        <v>600</v>
      </c>
      <c r="E69" s="13">
        <f>$D$69</f>
        <v>600</v>
      </c>
      <c r="F69" s="13">
        <f t="shared" ref="F69:H69" si="8">$D$69</f>
        <v>600</v>
      </c>
      <c r="G69" s="13">
        <f t="shared" si="8"/>
        <v>600</v>
      </c>
      <c r="H69" s="13">
        <f t="shared" si="8"/>
        <v>600</v>
      </c>
      <c r="I69" s="13"/>
    </row>
    <row r="70" spans="1:10" x14ac:dyDescent="0.25">
      <c r="B70" s="14" t="s">
        <v>34</v>
      </c>
      <c r="C70" s="13"/>
      <c r="D70" s="2">
        <f>D68*D69</f>
        <v>4800</v>
      </c>
      <c r="E70" s="2">
        <f t="shared" ref="E70:H70" si="9">E68*E69</f>
        <v>7200</v>
      </c>
      <c r="F70" s="2">
        <f t="shared" si="9"/>
        <v>4800</v>
      </c>
      <c r="G70" s="2">
        <f t="shared" si="9"/>
        <v>4800</v>
      </c>
      <c r="H70" s="2">
        <f t="shared" si="9"/>
        <v>6000</v>
      </c>
      <c r="I70" s="2"/>
    </row>
    <row r="71" spans="1:10" x14ac:dyDescent="0.25">
      <c r="B71" s="14" t="s">
        <v>37</v>
      </c>
      <c r="C71" s="13">
        <f>SUM(D70:I70)</f>
        <v>27600</v>
      </c>
      <c r="D71" s="13"/>
      <c r="E71" s="13"/>
      <c r="F71" s="13"/>
      <c r="G71" s="13"/>
      <c r="H71" s="13"/>
      <c r="I71" s="13"/>
    </row>
    <row r="72" spans="1:10" x14ac:dyDescent="0.25">
      <c r="B72" s="14" t="s">
        <v>38</v>
      </c>
      <c r="C72" s="98">
        <f>TIME( , ,C71)</f>
        <v>0.31944444444444448</v>
      </c>
      <c r="D72" s="99">
        <f>TIME( , ,D70)</f>
        <v>5.5555555555555552E-2</v>
      </c>
      <c r="E72" s="99">
        <f t="shared" ref="E72:H72" si="10">TIME( , ,E70)</f>
        <v>8.3333333333333329E-2</v>
      </c>
      <c r="F72" s="99">
        <f t="shared" si="10"/>
        <v>5.5555555555555552E-2</v>
      </c>
      <c r="G72" s="99">
        <f t="shared" si="10"/>
        <v>5.5555555555555552E-2</v>
      </c>
      <c r="H72" s="99">
        <f t="shared" si="10"/>
        <v>6.9444444444444448E-2</v>
      </c>
      <c r="I72" s="99"/>
    </row>
    <row r="73" spans="1:10" x14ac:dyDescent="0.25">
      <c r="B73" s="14"/>
      <c r="C73" s="98"/>
      <c r="D73" s="99"/>
      <c r="E73" s="99"/>
      <c r="F73" s="99"/>
      <c r="G73" s="99"/>
      <c r="H73" s="99"/>
      <c r="I73" s="99"/>
    </row>
    <row r="74" spans="1:10" x14ac:dyDescent="0.25">
      <c r="B74" s="14"/>
      <c r="C74" s="98"/>
      <c r="D74" s="99"/>
      <c r="E74" s="99"/>
      <c r="F74" s="99"/>
      <c r="G74" s="99"/>
      <c r="H74" s="99"/>
      <c r="I74" s="99"/>
    </row>
    <row r="75" spans="1:10" x14ac:dyDescent="0.25">
      <c r="B75" s="14"/>
      <c r="C75" s="98"/>
      <c r="D75" s="99"/>
      <c r="E75" s="99"/>
      <c r="F75" s="99"/>
      <c r="G75" s="99"/>
      <c r="H75" s="99"/>
      <c r="I75" s="99"/>
    </row>
    <row r="77" spans="1:10" ht="21" x14ac:dyDescent="0.35">
      <c r="B77" s="104" t="s">
        <v>79</v>
      </c>
    </row>
    <row r="78" spans="1:10" x14ac:dyDescent="0.25">
      <c r="B78" t="s">
        <v>17</v>
      </c>
    </row>
    <row r="79" spans="1:10" x14ac:dyDescent="0.25">
      <c r="C79" s="3"/>
      <c r="D79" s="4" t="s">
        <v>0</v>
      </c>
      <c r="E79" s="4" t="s">
        <v>1</v>
      </c>
      <c r="F79" s="4" t="s">
        <v>2</v>
      </c>
      <c r="G79" s="4" t="s">
        <v>3</v>
      </c>
      <c r="H79" s="4" t="s">
        <v>7</v>
      </c>
      <c r="I79" s="4" t="s">
        <v>8</v>
      </c>
      <c r="J79" s="4" t="s">
        <v>19</v>
      </c>
    </row>
    <row r="80" spans="1:10" x14ac:dyDescent="0.25">
      <c r="B80" s="13" t="s">
        <v>68</v>
      </c>
      <c r="C80" s="3" t="s">
        <v>9</v>
      </c>
      <c r="D80" s="9">
        <v>3</v>
      </c>
      <c r="E80" s="9">
        <v>4</v>
      </c>
      <c r="F80" s="9">
        <v>4.7</v>
      </c>
      <c r="G80" s="9">
        <v>5.5</v>
      </c>
      <c r="H80" s="9">
        <v>7</v>
      </c>
      <c r="I80" s="9"/>
      <c r="J80" s="9"/>
    </row>
    <row r="81" spans="1:13" x14ac:dyDescent="0.25">
      <c r="B81" s="13" t="s">
        <v>69</v>
      </c>
      <c r="C81" s="3" t="s">
        <v>18</v>
      </c>
      <c r="D81" s="9">
        <v>100</v>
      </c>
      <c r="E81" s="9">
        <v>100</v>
      </c>
      <c r="F81" s="9">
        <v>100</v>
      </c>
      <c r="G81" s="9">
        <v>100</v>
      </c>
      <c r="H81" s="9">
        <v>100</v>
      </c>
      <c r="I81" s="9"/>
      <c r="J81" s="9"/>
    </row>
    <row r="82" spans="1:13" x14ac:dyDescent="0.25">
      <c r="C82" s="3" t="s">
        <v>14</v>
      </c>
      <c r="D82" s="10">
        <f>D80*$C$28+$C$29</f>
        <v>0.336381818181817</v>
      </c>
      <c r="E82" s="10">
        <f t="shared" ref="E82:H82" si="11">E80*$C$28+$C$29</f>
        <v>0.43650909090908974</v>
      </c>
      <c r="F82" s="10">
        <f t="shared" si="11"/>
        <v>0.50659818181818062</v>
      </c>
      <c r="G82" s="10">
        <f t="shared" si="11"/>
        <v>0.58669999999999889</v>
      </c>
      <c r="H82" s="10">
        <f t="shared" si="11"/>
        <v>0.73689090909090804</v>
      </c>
      <c r="I82" s="10">
        <v>0.54</v>
      </c>
      <c r="J82" s="10">
        <v>0.54</v>
      </c>
    </row>
    <row r="83" spans="1:13" x14ac:dyDescent="0.25">
      <c r="C83" s="3" t="s">
        <v>20</v>
      </c>
      <c r="D83" s="10">
        <f>D81*$F$28+$F$29</f>
        <v>1007.6653592334692</v>
      </c>
      <c r="E83" s="10">
        <f t="shared" ref="E83:H83" si="12">E81*$F$28+$F$29</f>
        <v>1007.6653592334692</v>
      </c>
      <c r="F83" s="10">
        <f t="shared" si="12"/>
        <v>1007.6653592334692</v>
      </c>
      <c r="G83" s="10">
        <f t="shared" si="12"/>
        <v>1007.6653592334692</v>
      </c>
      <c r="H83" s="10">
        <f t="shared" si="12"/>
        <v>1007.6653592334692</v>
      </c>
      <c r="I83" s="10">
        <v>1157</v>
      </c>
      <c r="J83" s="10">
        <f>957+200</f>
        <v>1157</v>
      </c>
      <c r="L83" t="s">
        <v>89</v>
      </c>
      <c r="M83">
        <v>233</v>
      </c>
    </row>
    <row r="84" spans="1:13" x14ac:dyDescent="0.25">
      <c r="C84" s="3" t="s">
        <v>10</v>
      </c>
      <c r="D84" s="10">
        <f>D82+D83</f>
        <v>1008.001741051651</v>
      </c>
      <c r="E84" s="10">
        <f t="shared" ref="E84:J84" si="13">E82+E83</f>
        <v>1008.1018683243783</v>
      </c>
      <c r="F84" s="10">
        <f t="shared" si="13"/>
        <v>1008.1719574152874</v>
      </c>
      <c r="G84" s="10">
        <f t="shared" si="13"/>
        <v>1008.2520592334691</v>
      </c>
      <c r="H84" s="10">
        <f t="shared" si="13"/>
        <v>1008.4022501425601</v>
      </c>
      <c r="I84" s="10">
        <f t="shared" si="13"/>
        <v>1157.54</v>
      </c>
      <c r="J84" s="10">
        <f t="shared" si="13"/>
        <v>1157.54</v>
      </c>
      <c r="L84" t="s">
        <v>88</v>
      </c>
      <c r="M84">
        <v>1000</v>
      </c>
    </row>
    <row r="85" spans="1:13" x14ac:dyDescent="0.25">
      <c r="C85" s="9" t="s">
        <v>81</v>
      </c>
      <c r="D85" s="12" t="s">
        <v>11</v>
      </c>
      <c r="E85" s="12" t="str">
        <f>D85</f>
        <v>C out (ppb)</v>
      </c>
      <c r="F85" s="12" t="str">
        <f t="shared" ref="F85" si="14">E85</f>
        <v>C out (ppb)</v>
      </c>
      <c r="G85" s="12" t="str">
        <f t="shared" ref="G85" si="15">F85</f>
        <v>C out (ppb)</v>
      </c>
      <c r="H85" s="12" t="str">
        <f t="shared" ref="H85" si="16">G85</f>
        <v>C out (ppb)</v>
      </c>
      <c r="I85" s="12" t="str">
        <f t="shared" ref="I85" si="17">H85</f>
        <v>C out (ppb)</v>
      </c>
      <c r="J85" s="12" t="str">
        <f t="shared" ref="J85" si="18">I85</f>
        <v>C out (ppb)</v>
      </c>
      <c r="L85" t="s">
        <v>90</v>
      </c>
      <c r="M85">
        <v>60.07</v>
      </c>
    </row>
    <row r="86" spans="1:13" x14ac:dyDescent="0.25">
      <c r="A86" s="101" t="s">
        <v>63</v>
      </c>
      <c r="B86" s="5" t="s">
        <v>65</v>
      </c>
      <c r="C86" s="6">
        <v>203700</v>
      </c>
      <c r="D86" s="7">
        <f>$C86*D$82/D$84</f>
        <v>67.97704167866614</v>
      </c>
      <c r="E86" s="7">
        <f t="shared" ref="E86:I87" si="19">$C86*E$82/E$84</f>
        <v>88.202298410551762</v>
      </c>
      <c r="F86" s="7">
        <f t="shared" si="19"/>
        <v>102.3575877878297</v>
      </c>
      <c r="G86" s="7">
        <f t="shared" si="19"/>
        <v>118.53265153840471</v>
      </c>
      <c r="H86" s="7">
        <f t="shared" si="19"/>
        <v>148.85396989207166</v>
      </c>
      <c r="I86" s="7">
        <f t="shared" si="19"/>
        <v>95.027385662698478</v>
      </c>
      <c r="J86" s="7">
        <f t="shared" ref="J86:J87" si="20">$C86*J$55/J$57</f>
        <v>118825</v>
      </c>
      <c r="L86" t="s">
        <v>91</v>
      </c>
      <c r="M86">
        <f>M83*1000/M84</f>
        <v>233</v>
      </c>
    </row>
    <row r="87" spans="1:13" x14ac:dyDescent="0.25">
      <c r="A87" s="114"/>
      <c r="B87" s="14" t="s">
        <v>29</v>
      </c>
      <c r="C87" s="115">
        <v>197500</v>
      </c>
      <c r="D87" s="7">
        <f>$C87*D$82/D$84</f>
        <v>65.908030100817683</v>
      </c>
      <c r="E87" s="7">
        <f t="shared" si="19"/>
        <v>85.517692371546261</v>
      </c>
      <c r="F87" s="7">
        <f t="shared" si="19"/>
        <v>99.24213838044362</v>
      </c>
      <c r="G87" s="7">
        <f t="shared" si="19"/>
        <v>114.92488305760888</v>
      </c>
      <c r="H87" s="7">
        <f t="shared" si="19"/>
        <v>144.32331396015783</v>
      </c>
      <c r="I87" s="7">
        <f t="shared" si="19"/>
        <v>92.13504500924374</v>
      </c>
      <c r="J87" s="7">
        <f t="shared" si="20"/>
        <v>115208.33333333333</v>
      </c>
      <c r="L87" t="s">
        <v>92</v>
      </c>
      <c r="M87">
        <f>M86*24.04/$M$85</f>
        <v>93.246545696687193</v>
      </c>
    </row>
    <row r="89" spans="1:13" x14ac:dyDescent="0.25">
      <c r="B89" s="14" t="s">
        <v>36</v>
      </c>
      <c r="C89" s="13"/>
      <c r="D89" s="13">
        <v>5</v>
      </c>
      <c r="E89" s="13">
        <v>5</v>
      </c>
      <c r="F89" s="13">
        <v>8</v>
      </c>
      <c r="G89" s="13">
        <v>5</v>
      </c>
      <c r="H89" s="13">
        <v>5</v>
      </c>
      <c r="I89" s="13"/>
    </row>
    <row r="90" spans="1:13" x14ac:dyDescent="0.25">
      <c r="B90" s="14" t="s">
        <v>35</v>
      </c>
      <c r="C90" s="13"/>
      <c r="D90" s="13">
        <v>600</v>
      </c>
      <c r="E90" s="13">
        <f>$D$69</f>
        <v>600</v>
      </c>
      <c r="F90" s="13">
        <f t="shared" ref="F90:H90" si="21">$D$69</f>
        <v>600</v>
      </c>
      <c r="G90" s="13">
        <f t="shared" si="21"/>
        <v>600</v>
      </c>
      <c r="H90" s="13">
        <f t="shared" si="21"/>
        <v>600</v>
      </c>
      <c r="I90" s="13"/>
    </row>
    <row r="91" spans="1:13" x14ac:dyDescent="0.25">
      <c r="B91" s="14" t="s">
        <v>34</v>
      </c>
      <c r="C91" s="13"/>
      <c r="D91" s="2">
        <f>D89*D90</f>
        <v>3000</v>
      </c>
      <c r="E91" s="2">
        <f t="shared" ref="E91:H91" si="22">E89*E90</f>
        <v>3000</v>
      </c>
      <c r="F91" s="2">
        <f t="shared" si="22"/>
        <v>4800</v>
      </c>
      <c r="G91" s="2">
        <f t="shared" si="22"/>
        <v>3000</v>
      </c>
      <c r="H91" s="2">
        <f t="shared" si="22"/>
        <v>3000</v>
      </c>
      <c r="I91" s="2"/>
      <c r="K91" s="96"/>
      <c r="L91" s="96"/>
    </row>
    <row r="92" spans="1:13" x14ac:dyDescent="0.25">
      <c r="B92" s="14" t="s">
        <v>37</v>
      </c>
      <c r="C92" s="13">
        <f>SUM(D91:I91)</f>
        <v>16800</v>
      </c>
      <c r="D92" s="13"/>
      <c r="E92" s="13"/>
      <c r="F92" s="13"/>
      <c r="G92" s="13"/>
      <c r="H92" s="13"/>
      <c r="I92" s="13"/>
      <c r="K92" s="96"/>
    </row>
    <row r="93" spans="1:13" x14ac:dyDescent="0.25">
      <c r="B93" s="14" t="s">
        <v>38</v>
      </c>
      <c r="C93" s="98">
        <f>TIME( , ,C92)</f>
        <v>0.19444444444444445</v>
      </c>
      <c r="D93" s="99">
        <f>TIME( , ,D91)</f>
        <v>3.4722222222222224E-2</v>
      </c>
      <c r="E93" s="99">
        <f t="shared" ref="E93:H93" si="23">TIME( , ,E91)</f>
        <v>3.4722222222222224E-2</v>
      </c>
      <c r="F93" s="99">
        <f t="shared" si="23"/>
        <v>5.5555555555555552E-2</v>
      </c>
      <c r="G93" s="99">
        <f t="shared" si="23"/>
        <v>3.4722222222222224E-2</v>
      </c>
      <c r="H93" s="99">
        <f t="shared" si="23"/>
        <v>3.4722222222222224E-2</v>
      </c>
      <c r="I93" s="99"/>
      <c r="K93" s="96"/>
    </row>
    <row r="97" spans="1:12" ht="18.75" hidden="1" x14ac:dyDescent="0.3">
      <c r="B97" s="11" t="s">
        <v>58</v>
      </c>
      <c r="L97">
        <v>95.027385662698478</v>
      </c>
    </row>
    <row r="98" spans="1:12" hidden="1" x14ac:dyDescent="0.25">
      <c r="B98" t="s">
        <v>33</v>
      </c>
      <c r="C98" t="s">
        <v>32</v>
      </c>
      <c r="D98">
        <f>300/5</f>
        <v>60</v>
      </c>
    </row>
    <row r="99" spans="1:12" hidden="1" x14ac:dyDescent="0.25"/>
    <row r="100" spans="1:12" hidden="1" x14ac:dyDescent="0.25">
      <c r="C100" s="3"/>
      <c r="D100" s="4" t="s">
        <v>0</v>
      </c>
      <c r="E100" s="4" t="s">
        <v>1</v>
      </c>
      <c r="F100" s="4" t="s">
        <v>2</v>
      </c>
      <c r="G100" s="4" t="s">
        <v>3</v>
      </c>
      <c r="H100" s="4" t="s">
        <v>7</v>
      </c>
      <c r="I100" s="4" t="s">
        <v>8</v>
      </c>
    </row>
    <row r="101" spans="1:12" hidden="1" x14ac:dyDescent="0.25">
      <c r="C101" s="3" t="s">
        <v>9</v>
      </c>
      <c r="D101" s="3"/>
      <c r="E101" s="3"/>
      <c r="F101" s="3"/>
      <c r="G101" s="3"/>
      <c r="H101" s="3"/>
      <c r="I101" s="3"/>
    </row>
    <row r="102" spans="1:12" hidden="1" x14ac:dyDescent="0.25">
      <c r="C102" s="3" t="s">
        <v>18</v>
      </c>
      <c r="D102" s="3"/>
      <c r="E102" s="3"/>
      <c r="F102" s="3"/>
      <c r="G102" s="3"/>
      <c r="H102" s="3"/>
      <c r="I102" s="3"/>
    </row>
    <row r="103" spans="1:12" hidden="1" x14ac:dyDescent="0.25">
      <c r="C103" s="3" t="s">
        <v>14</v>
      </c>
      <c r="D103" s="10"/>
      <c r="E103" s="10"/>
      <c r="F103" s="10"/>
      <c r="G103" s="10"/>
      <c r="H103" s="10"/>
      <c r="I103" s="10"/>
    </row>
    <row r="104" spans="1:12" hidden="1" x14ac:dyDescent="0.25">
      <c r="C104" s="3" t="s">
        <v>20</v>
      </c>
      <c r="D104" s="10"/>
      <c r="E104" s="10"/>
      <c r="F104" s="10"/>
      <c r="G104" s="10"/>
      <c r="H104" s="10"/>
      <c r="I104" s="10"/>
    </row>
    <row r="105" spans="1:12" hidden="1" x14ac:dyDescent="0.25">
      <c r="C105" s="3" t="s">
        <v>10</v>
      </c>
      <c r="D105" s="10">
        <f>D103+D104</f>
        <v>0</v>
      </c>
      <c r="E105" s="10">
        <f t="shared" ref="E105:I105" si="24">E103+E104</f>
        <v>0</v>
      </c>
      <c r="F105" s="10">
        <f t="shared" si="24"/>
        <v>0</v>
      </c>
      <c r="G105" s="10">
        <f t="shared" si="24"/>
        <v>0</v>
      </c>
      <c r="H105" s="10">
        <f t="shared" si="24"/>
        <v>0</v>
      </c>
      <c r="I105" s="10">
        <f t="shared" si="24"/>
        <v>0</v>
      </c>
    </row>
    <row r="106" spans="1:12" hidden="1" x14ac:dyDescent="0.25">
      <c r="C106" s="9" t="s">
        <v>12</v>
      </c>
      <c r="D106" s="12" t="s">
        <v>11</v>
      </c>
      <c r="E106" s="12" t="str">
        <f>D106</f>
        <v>C out (ppb)</v>
      </c>
      <c r="F106" s="12" t="str">
        <f t="shared" ref="F106" si="25">E106</f>
        <v>C out (ppb)</v>
      </c>
      <c r="G106" s="12" t="str">
        <f t="shared" ref="G106" si="26">F106</f>
        <v>C out (ppb)</v>
      </c>
      <c r="H106" s="12" t="str">
        <f t="shared" ref="H106" si="27">G106</f>
        <v>C out (ppb)</v>
      </c>
      <c r="I106" s="12" t="str">
        <f t="shared" ref="I106" si="28">H106</f>
        <v>C out (ppb)</v>
      </c>
    </row>
    <row r="107" spans="1:12" hidden="1" x14ac:dyDescent="0.25">
      <c r="A107" s="116" t="s">
        <v>60</v>
      </c>
      <c r="B107" s="5" t="s">
        <v>25</v>
      </c>
      <c r="C107" s="6">
        <v>476</v>
      </c>
      <c r="D107" s="7" t="e">
        <f>$C107*D$103/D$105</f>
        <v>#DIV/0!</v>
      </c>
      <c r="E107" s="7" t="e">
        <f t="shared" ref="E107:I115" si="29">$C107*E$103/E$105</f>
        <v>#DIV/0!</v>
      </c>
      <c r="F107" s="7" t="e">
        <f t="shared" si="29"/>
        <v>#DIV/0!</v>
      </c>
      <c r="G107" s="7" t="e">
        <f t="shared" si="29"/>
        <v>#DIV/0!</v>
      </c>
      <c r="H107" s="7" t="e">
        <f t="shared" si="29"/>
        <v>#DIV/0!</v>
      </c>
      <c r="I107" s="7" t="e">
        <f t="shared" si="29"/>
        <v>#DIV/0!</v>
      </c>
    </row>
    <row r="108" spans="1:12" hidden="1" x14ac:dyDescent="0.25">
      <c r="A108" s="116"/>
      <c r="B108" s="5" t="s">
        <v>26</v>
      </c>
      <c r="C108" s="6">
        <v>484</v>
      </c>
      <c r="D108" s="7" t="e">
        <f t="shared" ref="D108:D115" si="30">$C108*D$103/D$105</f>
        <v>#DIV/0!</v>
      </c>
      <c r="E108" s="7" t="e">
        <f t="shared" si="29"/>
        <v>#DIV/0!</v>
      </c>
      <c r="F108" s="7" t="e">
        <f t="shared" si="29"/>
        <v>#DIV/0!</v>
      </c>
      <c r="G108" s="7" t="e">
        <f t="shared" si="29"/>
        <v>#DIV/0!</v>
      </c>
      <c r="H108" s="7" t="e">
        <f t="shared" si="29"/>
        <v>#DIV/0!</v>
      </c>
      <c r="I108" s="7" t="e">
        <f t="shared" si="29"/>
        <v>#DIV/0!</v>
      </c>
    </row>
    <row r="109" spans="1:12" hidden="1" x14ac:dyDescent="0.25">
      <c r="A109" s="116"/>
      <c r="B109" s="5" t="s">
        <v>27</v>
      </c>
      <c r="C109" s="6">
        <v>524</v>
      </c>
      <c r="D109" s="7" t="e">
        <f t="shared" si="30"/>
        <v>#DIV/0!</v>
      </c>
      <c r="E109" s="7" t="e">
        <f t="shared" si="29"/>
        <v>#DIV/0!</v>
      </c>
      <c r="F109" s="7" t="e">
        <f t="shared" si="29"/>
        <v>#DIV/0!</v>
      </c>
      <c r="G109" s="7" t="e">
        <f t="shared" si="29"/>
        <v>#DIV/0!</v>
      </c>
      <c r="H109" s="7" t="e">
        <f t="shared" si="29"/>
        <v>#DIV/0!</v>
      </c>
      <c r="I109" s="7" t="e">
        <f t="shared" si="29"/>
        <v>#DIV/0!</v>
      </c>
    </row>
    <row r="110" spans="1:12" hidden="1" x14ac:dyDescent="0.25">
      <c r="A110" s="116"/>
      <c r="B110" s="5" t="s">
        <v>28</v>
      </c>
      <c r="C110" s="6">
        <v>478</v>
      </c>
      <c r="D110" s="7" t="e">
        <f t="shared" si="30"/>
        <v>#DIV/0!</v>
      </c>
      <c r="E110" s="7" t="e">
        <f t="shared" si="29"/>
        <v>#DIV/0!</v>
      </c>
      <c r="F110" s="7" t="e">
        <f t="shared" si="29"/>
        <v>#DIV/0!</v>
      </c>
      <c r="G110" s="7" t="e">
        <f t="shared" si="29"/>
        <v>#DIV/0!</v>
      </c>
      <c r="H110" s="7" t="e">
        <f t="shared" si="29"/>
        <v>#DIV/0!</v>
      </c>
      <c r="I110" s="7" t="e">
        <f t="shared" si="29"/>
        <v>#DIV/0!</v>
      </c>
    </row>
    <row r="111" spans="1:12" hidden="1" x14ac:dyDescent="0.25">
      <c r="A111" s="116"/>
      <c r="B111" s="5" t="s">
        <v>29</v>
      </c>
      <c r="C111" s="6">
        <v>484</v>
      </c>
      <c r="D111" s="7" t="e">
        <f t="shared" si="30"/>
        <v>#DIV/0!</v>
      </c>
      <c r="E111" s="7" t="e">
        <f t="shared" si="29"/>
        <v>#DIV/0!</v>
      </c>
      <c r="F111" s="7" t="e">
        <f t="shared" si="29"/>
        <v>#DIV/0!</v>
      </c>
      <c r="G111" s="7" t="e">
        <f t="shared" si="29"/>
        <v>#DIV/0!</v>
      </c>
      <c r="H111" s="7" t="e">
        <f t="shared" si="29"/>
        <v>#DIV/0!</v>
      </c>
      <c r="I111" s="7" t="e">
        <f t="shared" si="29"/>
        <v>#DIV/0!</v>
      </c>
    </row>
    <row r="112" spans="1:12" hidden="1" x14ac:dyDescent="0.25">
      <c r="A112" s="116"/>
      <c r="B112" s="5" t="s">
        <v>30</v>
      </c>
      <c r="C112" s="6">
        <v>488</v>
      </c>
      <c r="D112" s="7" t="e">
        <f t="shared" si="30"/>
        <v>#DIV/0!</v>
      </c>
      <c r="E112" s="7" t="e">
        <f t="shared" si="29"/>
        <v>#DIV/0!</v>
      </c>
      <c r="F112" s="7" t="e">
        <f t="shared" si="29"/>
        <v>#DIV/0!</v>
      </c>
      <c r="G112" s="7" t="e">
        <f t="shared" si="29"/>
        <v>#DIV/0!</v>
      </c>
      <c r="H112" s="7" t="e">
        <f t="shared" si="29"/>
        <v>#DIV/0!</v>
      </c>
      <c r="I112" s="7" t="e">
        <f t="shared" si="29"/>
        <v>#DIV/0!</v>
      </c>
    </row>
    <row r="113" spans="1:10" hidden="1" x14ac:dyDescent="0.25">
      <c r="A113" s="92" t="s">
        <v>61</v>
      </c>
      <c r="B113" s="90" t="s">
        <v>31</v>
      </c>
      <c r="C113" s="6">
        <v>502</v>
      </c>
      <c r="D113" s="7" t="e">
        <f t="shared" si="30"/>
        <v>#DIV/0!</v>
      </c>
      <c r="E113" s="7" t="e">
        <f t="shared" si="29"/>
        <v>#DIV/0!</v>
      </c>
      <c r="F113" s="7" t="e">
        <f t="shared" si="29"/>
        <v>#DIV/0!</v>
      </c>
      <c r="G113" s="7" t="e">
        <f t="shared" si="29"/>
        <v>#DIV/0!</v>
      </c>
      <c r="H113" s="7" t="e">
        <f t="shared" si="29"/>
        <v>#DIV/0!</v>
      </c>
      <c r="I113" s="7" t="e">
        <f t="shared" si="29"/>
        <v>#DIV/0!</v>
      </c>
    </row>
    <row r="114" spans="1:10" hidden="1" x14ac:dyDescent="0.25">
      <c r="A114" s="93" t="s">
        <v>62</v>
      </c>
      <c r="B114" s="5" t="s">
        <v>64</v>
      </c>
      <c r="C114" s="6"/>
      <c r="D114" s="7" t="e">
        <f t="shared" si="30"/>
        <v>#DIV/0!</v>
      </c>
      <c r="E114" s="7" t="e">
        <f t="shared" si="29"/>
        <v>#DIV/0!</v>
      </c>
      <c r="F114" s="7" t="e">
        <f t="shared" si="29"/>
        <v>#DIV/0!</v>
      </c>
      <c r="G114" s="7" t="e">
        <f t="shared" si="29"/>
        <v>#DIV/0!</v>
      </c>
      <c r="H114" s="7" t="e">
        <f t="shared" si="29"/>
        <v>#DIV/0!</v>
      </c>
      <c r="I114" s="7" t="e">
        <f t="shared" si="29"/>
        <v>#DIV/0!</v>
      </c>
    </row>
    <row r="115" spans="1:10" hidden="1" x14ac:dyDescent="0.25">
      <c r="A115" s="95" t="s">
        <v>63</v>
      </c>
      <c r="B115" s="94" t="s">
        <v>65</v>
      </c>
      <c r="C115" s="6"/>
      <c r="D115" s="7" t="e">
        <f t="shared" si="30"/>
        <v>#DIV/0!</v>
      </c>
      <c r="E115" s="7" t="e">
        <f t="shared" si="29"/>
        <v>#DIV/0!</v>
      </c>
      <c r="F115" s="7" t="e">
        <f t="shared" si="29"/>
        <v>#DIV/0!</v>
      </c>
      <c r="G115" s="7" t="e">
        <f t="shared" si="29"/>
        <v>#DIV/0!</v>
      </c>
      <c r="H115" s="7" t="e">
        <f t="shared" si="29"/>
        <v>#DIV/0!</v>
      </c>
      <c r="I115" s="7" t="e">
        <f t="shared" si="29"/>
        <v>#DIV/0!</v>
      </c>
    </row>
    <row r="116" spans="1:10" hidden="1" x14ac:dyDescent="0.25"/>
    <row r="120" spans="1:10" ht="23.25" x14ac:dyDescent="0.35">
      <c r="B120" s="102" t="s">
        <v>78</v>
      </c>
    </row>
    <row r="122" spans="1:10" x14ac:dyDescent="0.25">
      <c r="B122" t="s">
        <v>33</v>
      </c>
      <c r="C122" t="s">
        <v>32</v>
      </c>
    </row>
    <row r="124" spans="1:10" x14ac:dyDescent="0.25">
      <c r="C124" s="3"/>
      <c r="D124" s="4" t="s">
        <v>0</v>
      </c>
      <c r="E124" s="4" t="s">
        <v>1</v>
      </c>
      <c r="F124" s="4" t="s">
        <v>2</v>
      </c>
      <c r="G124" s="4" t="s">
        <v>3</v>
      </c>
      <c r="H124" s="4" t="s">
        <v>7</v>
      </c>
      <c r="I124" s="4" t="s">
        <v>8</v>
      </c>
      <c r="J124" s="4" t="s">
        <v>19</v>
      </c>
    </row>
    <row r="125" spans="1:10" x14ac:dyDescent="0.25">
      <c r="C125" s="3" t="s">
        <v>9</v>
      </c>
      <c r="D125" s="3">
        <v>36</v>
      </c>
      <c r="E125" s="3">
        <v>70</v>
      </c>
      <c r="F125" s="3">
        <v>50</v>
      </c>
      <c r="G125" s="3">
        <v>28</v>
      </c>
      <c r="H125" s="3">
        <v>20</v>
      </c>
      <c r="I125" s="3"/>
      <c r="J125" s="3"/>
    </row>
    <row r="126" spans="1:10" x14ac:dyDescent="0.25">
      <c r="C126" s="3" t="s">
        <v>18</v>
      </c>
      <c r="D126" s="3">
        <v>26</v>
      </c>
      <c r="E126" s="3">
        <v>60</v>
      </c>
      <c r="F126" s="3">
        <v>65</v>
      </c>
      <c r="G126" s="3">
        <v>65</v>
      </c>
      <c r="H126" s="3">
        <v>80</v>
      </c>
      <c r="I126" s="3"/>
      <c r="J126" s="3"/>
    </row>
    <row r="127" spans="1:10" x14ac:dyDescent="0.25">
      <c r="B127" s="13" t="s">
        <v>68</v>
      </c>
      <c r="C127" s="3" t="s">
        <v>14</v>
      </c>
      <c r="D127" s="10">
        <f>D125*$C$28+$C$29</f>
        <v>3.6405818181818179</v>
      </c>
      <c r="E127" s="10">
        <f t="shared" ref="E127:J127" si="31">E125*$C$28+$C$29</f>
        <v>7.0449090909090915</v>
      </c>
      <c r="F127" s="10">
        <f t="shared" si="31"/>
        <v>5.0423636363636364</v>
      </c>
      <c r="G127" s="10">
        <f t="shared" si="31"/>
        <v>2.8395636363636361</v>
      </c>
      <c r="H127" s="10">
        <f t="shared" si="31"/>
        <v>2.0385454545454538</v>
      </c>
      <c r="I127" s="10">
        <f t="shared" si="31"/>
        <v>3.59999999999987E-2</v>
      </c>
      <c r="J127" s="10">
        <f t="shared" si="31"/>
        <v>3.59999999999987E-2</v>
      </c>
    </row>
    <row r="128" spans="1:10" x14ac:dyDescent="0.25">
      <c r="B128" s="13" t="s">
        <v>69</v>
      </c>
      <c r="C128" s="3" t="s">
        <v>20</v>
      </c>
      <c r="D128" s="10">
        <f>D126*$F$28+$F$29</f>
        <v>262.53199285523777</v>
      </c>
      <c r="E128" s="10">
        <f t="shared" ref="E128:J128" si="32">E126*$F$28+$F$29</f>
        <v>604.89056659658741</v>
      </c>
      <c r="F128" s="10">
        <f t="shared" si="32"/>
        <v>655.23741567619754</v>
      </c>
      <c r="G128" s="10">
        <f t="shared" si="32"/>
        <v>655.23741567619754</v>
      </c>
      <c r="H128" s="10">
        <f t="shared" si="32"/>
        <v>806.27796291502818</v>
      </c>
      <c r="I128" s="10">
        <f t="shared" si="32"/>
        <v>0.72837764126455795</v>
      </c>
      <c r="J128" s="10">
        <f t="shared" si="32"/>
        <v>0.72837764126455795</v>
      </c>
    </row>
    <row r="129" spans="2:10" x14ac:dyDescent="0.25">
      <c r="C129" s="3" t="s">
        <v>10</v>
      </c>
      <c r="D129" s="10">
        <f>D127+D128</f>
        <v>266.1725746734196</v>
      </c>
      <c r="E129" s="10">
        <f t="shared" ref="E129:J129" si="33">E127+E128</f>
        <v>611.93547568749648</v>
      </c>
      <c r="F129" s="10">
        <f t="shared" si="33"/>
        <v>660.27977931256123</v>
      </c>
      <c r="G129" s="10">
        <f t="shared" si="33"/>
        <v>658.07697931256121</v>
      </c>
      <c r="H129" s="10">
        <f t="shared" si="33"/>
        <v>808.31650836957363</v>
      </c>
      <c r="I129" s="10">
        <f t="shared" si="33"/>
        <v>0.76437764126455665</v>
      </c>
      <c r="J129" s="10">
        <f t="shared" si="33"/>
        <v>0.76437764126455665</v>
      </c>
    </row>
    <row r="130" spans="2:10" x14ac:dyDescent="0.25">
      <c r="C130" s="9" t="s">
        <v>71</v>
      </c>
      <c r="D130" s="12" t="s">
        <v>11</v>
      </c>
      <c r="E130" s="12" t="str">
        <f>D130</f>
        <v>C out (ppb)</v>
      </c>
      <c r="F130" s="12" t="str">
        <f t="shared" ref="F130:J130" si="34">E130</f>
        <v>C out (ppb)</v>
      </c>
      <c r="G130" s="12" t="str">
        <f t="shared" si="34"/>
        <v>C out (ppb)</v>
      </c>
      <c r="H130" s="12" t="str">
        <f t="shared" si="34"/>
        <v>C out (ppb)</v>
      </c>
      <c r="I130" s="12" t="str">
        <f t="shared" si="34"/>
        <v>C out (ppb)</v>
      </c>
      <c r="J130" s="12" t="str">
        <f t="shared" si="34"/>
        <v>C out (ppb)</v>
      </c>
    </row>
    <row r="131" spans="2:10" x14ac:dyDescent="0.25">
      <c r="B131" s="5" t="s">
        <v>64</v>
      </c>
      <c r="C131" s="103">
        <v>10000</v>
      </c>
      <c r="D131" s="7">
        <f>$C131*D$127/D$129</f>
        <v>136.77524150069289</v>
      </c>
      <c r="E131" s="7">
        <f t="shared" ref="E131:I131" si="35">$C131*E$127/E$129</f>
        <v>115.12503149117619</v>
      </c>
      <c r="F131" s="7">
        <f t="shared" si="35"/>
        <v>76.367076417415134</v>
      </c>
      <c r="G131" s="7">
        <f t="shared" si="35"/>
        <v>43.149414515759148</v>
      </c>
      <c r="H131" s="7">
        <f t="shared" si="35"/>
        <v>25.219643956763061</v>
      </c>
      <c r="I131" s="7">
        <f t="shared" si="35"/>
        <v>470.97138974972762</v>
      </c>
      <c r="J131" s="7">
        <f t="shared" ref="J131:J133" si="36">$C131*J$84/J$86</f>
        <v>97.415527035556494</v>
      </c>
    </row>
    <row r="132" spans="2:10" x14ac:dyDescent="0.25">
      <c r="B132" s="5" t="s">
        <v>27</v>
      </c>
      <c r="C132" s="103">
        <v>16400</v>
      </c>
      <c r="D132" s="7">
        <f t="shared" ref="D132:I133" si="37">$C132*D$127/D$129</f>
        <v>224.31139606113635</v>
      </c>
      <c r="E132" s="7">
        <f t="shared" si="37"/>
        <v>188.80505164552895</v>
      </c>
      <c r="F132" s="7">
        <f t="shared" si="37"/>
        <v>125.24200532456082</v>
      </c>
      <c r="G132" s="7">
        <f t="shared" si="37"/>
        <v>70.765039805844992</v>
      </c>
      <c r="H132" s="7">
        <f t="shared" si="37"/>
        <v>41.360216089091423</v>
      </c>
      <c r="I132" s="7">
        <f t="shared" si="37"/>
        <v>772.39307918955342</v>
      </c>
      <c r="J132" s="7">
        <f t="shared" si="36"/>
        <v>159.76146433831263</v>
      </c>
    </row>
    <row r="133" spans="2:10" x14ac:dyDescent="0.25">
      <c r="B133" s="5" t="s">
        <v>29</v>
      </c>
      <c r="C133" s="103">
        <v>32100</v>
      </c>
      <c r="D133" s="7">
        <f t="shared" si="37"/>
        <v>439.04852521722421</v>
      </c>
      <c r="E133" s="7">
        <f t="shared" si="37"/>
        <v>369.5513510866756</v>
      </c>
      <c r="F133" s="7">
        <f t="shared" si="37"/>
        <v>245.13831529990259</v>
      </c>
      <c r="G133" s="7">
        <f t="shared" si="37"/>
        <v>138.50962059558688</v>
      </c>
      <c r="H133" s="7">
        <f t="shared" si="37"/>
        <v>80.955057101209434</v>
      </c>
      <c r="I133" s="7">
        <f t="shared" si="37"/>
        <v>1511.8181610966258</v>
      </c>
      <c r="J133" s="7">
        <f t="shared" si="36"/>
        <v>312.70384178413633</v>
      </c>
    </row>
    <row r="136" spans="2:10" x14ac:dyDescent="0.25">
      <c r="B136" s="14" t="s">
        <v>36</v>
      </c>
      <c r="C136" s="13"/>
      <c r="D136" s="13">
        <v>4</v>
      </c>
      <c r="E136" s="13">
        <v>4</v>
      </c>
      <c r="F136" s="13">
        <v>8</v>
      </c>
      <c r="G136" s="13">
        <v>4</v>
      </c>
      <c r="H136" s="13">
        <v>4</v>
      </c>
    </row>
    <row r="137" spans="2:10" x14ac:dyDescent="0.25">
      <c r="B137" s="14" t="s">
        <v>35</v>
      </c>
      <c r="C137" s="13"/>
      <c r="D137" s="13">
        <v>600</v>
      </c>
      <c r="E137" s="13">
        <f>$D$69</f>
        <v>600</v>
      </c>
      <c r="F137" s="13">
        <f t="shared" ref="F137:H137" si="38">$D$69</f>
        <v>600</v>
      </c>
      <c r="G137" s="13">
        <f t="shared" si="38"/>
        <v>600</v>
      </c>
      <c r="H137" s="13">
        <f t="shared" si="38"/>
        <v>600</v>
      </c>
    </row>
    <row r="138" spans="2:10" x14ac:dyDescent="0.25">
      <c r="B138" s="14" t="s">
        <v>34</v>
      </c>
      <c r="C138" s="13"/>
      <c r="D138" s="2">
        <f>D136*D137</f>
        <v>2400</v>
      </c>
      <c r="E138" s="2">
        <f t="shared" ref="E138:H138" si="39">E136*E137</f>
        <v>2400</v>
      </c>
      <c r="F138" s="2">
        <f t="shared" si="39"/>
        <v>4800</v>
      </c>
      <c r="G138" s="2">
        <f t="shared" si="39"/>
        <v>2400</v>
      </c>
      <c r="H138" s="2">
        <f t="shared" si="39"/>
        <v>2400</v>
      </c>
    </row>
    <row r="139" spans="2:10" x14ac:dyDescent="0.25">
      <c r="B139" s="14" t="s">
        <v>37</v>
      </c>
      <c r="C139" s="13">
        <f>SUM(D138:I138)</f>
        <v>14400</v>
      </c>
      <c r="D139" s="13"/>
      <c r="E139" s="13"/>
      <c r="F139" s="13"/>
      <c r="G139" s="13"/>
      <c r="H139" s="13"/>
    </row>
    <row r="140" spans="2:10" x14ac:dyDescent="0.25">
      <c r="B140" s="14" t="s">
        <v>38</v>
      </c>
      <c r="C140" s="98">
        <f>TIME( , ,C139)</f>
        <v>0.16666666666666666</v>
      </c>
      <c r="D140" s="99">
        <f>TIME( , ,D138)</f>
        <v>2.7777777777777776E-2</v>
      </c>
      <c r="E140" s="99">
        <f t="shared" ref="E140:H140" si="40">TIME( , ,E138)</f>
        <v>2.7777777777777776E-2</v>
      </c>
      <c r="F140" s="99">
        <f t="shared" si="40"/>
        <v>5.5555555555555552E-2</v>
      </c>
      <c r="G140" s="99">
        <f t="shared" si="40"/>
        <v>2.7777777777777776E-2</v>
      </c>
      <c r="H140" s="99">
        <f t="shared" si="40"/>
        <v>2.7777777777777776E-2</v>
      </c>
    </row>
  </sheetData>
  <mergeCells count="2">
    <mergeCell ref="A107:A112"/>
    <mergeCell ref="A59:A64"/>
  </mergeCells>
  <conditionalFormatting sqref="D57:J57">
    <cfRule type="cellIs" dxfId="3" priority="7" operator="lessThan">
      <formula>80</formula>
    </cfRule>
  </conditionalFormatting>
  <conditionalFormatting sqref="D105:I105">
    <cfRule type="cellIs" dxfId="2" priority="3" operator="lessThan">
      <formula>80</formula>
    </cfRule>
  </conditionalFormatting>
  <conditionalFormatting sqref="D84:J84">
    <cfRule type="cellIs" dxfId="1" priority="2" operator="lessThan">
      <formula>80</formula>
    </cfRule>
  </conditionalFormatting>
  <conditionalFormatting sqref="D129:J129">
    <cfRule type="cellIs" dxfId="0" priority="1" operator="lessThan">
      <formula>60</formula>
    </cfRule>
  </conditionalFormatting>
  <pageMargins left="0.7" right="0.7" top="0.75" bottom="0.75" header="0.3" footer="0.3"/>
  <pageSetup paperSize="9" scale="2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6"/>
  <sheetViews>
    <sheetView workbookViewId="0">
      <pane ySplit="1" topLeftCell="A2" activePane="bottomLeft" state="frozen"/>
      <selection pane="bottomLeft" activeCell="K10" sqref="K10"/>
    </sheetView>
  </sheetViews>
  <sheetFormatPr baseColWidth="10" defaultRowHeight="15" x14ac:dyDescent="0.25"/>
  <cols>
    <col min="1" max="1" width="15.7109375" bestFit="1" customWidth="1"/>
    <col min="2" max="2" width="8" bestFit="1" customWidth="1"/>
    <col min="3" max="6" width="12" bestFit="1" customWidth="1"/>
  </cols>
  <sheetData>
    <row r="1" spans="1:6" s="1" customFormat="1" x14ac:dyDescent="0.25">
      <c r="A1" s="1" t="s">
        <v>72</v>
      </c>
      <c r="B1" s="1" t="s">
        <v>73</v>
      </c>
      <c r="C1" s="1" t="s">
        <v>87</v>
      </c>
      <c r="D1" s="1" t="s">
        <v>64</v>
      </c>
      <c r="E1" s="1" t="s">
        <v>74</v>
      </c>
      <c r="F1" s="1" t="s">
        <v>29</v>
      </c>
    </row>
    <row r="2" spans="1:6" x14ac:dyDescent="0.25">
      <c r="A2" s="17" t="s">
        <v>0</v>
      </c>
    </row>
    <row r="3" spans="1:6" x14ac:dyDescent="0.25">
      <c r="A3" s="17">
        <v>44754.483726851853</v>
      </c>
      <c r="B3">
        <v>2</v>
      </c>
      <c r="C3">
        <v>359823.2</v>
      </c>
      <c r="D3">
        <v>441245.8</v>
      </c>
      <c r="E3">
        <v>544347.69999999995</v>
      </c>
      <c r="F3">
        <v>1246925.5</v>
      </c>
    </row>
    <row r="4" spans="1:6" x14ac:dyDescent="0.25">
      <c r="A4" s="17">
        <v>44754.490671296298</v>
      </c>
      <c r="B4">
        <v>2</v>
      </c>
      <c r="C4">
        <v>358473.6</v>
      </c>
      <c r="D4">
        <v>440513</v>
      </c>
      <c r="E4">
        <v>525215.6</v>
      </c>
      <c r="F4">
        <v>1226395.8999999999</v>
      </c>
    </row>
    <row r="5" spans="1:6" x14ac:dyDescent="0.25">
      <c r="A5" s="17">
        <v>44754.497615740744</v>
      </c>
      <c r="B5">
        <v>2</v>
      </c>
      <c r="C5">
        <v>354849.8</v>
      </c>
      <c r="D5">
        <v>428024.1</v>
      </c>
      <c r="E5">
        <v>528183</v>
      </c>
      <c r="F5">
        <v>1225440.3</v>
      </c>
    </row>
    <row r="6" spans="1:6" x14ac:dyDescent="0.25">
      <c r="A6" s="17">
        <v>44754.504560185182</v>
      </c>
      <c r="B6">
        <v>2</v>
      </c>
      <c r="C6">
        <v>357996.3</v>
      </c>
      <c r="D6">
        <v>437374.5</v>
      </c>
      <c r="E6">
        <v>536740.6</v>
      </c>
      <c r="F6">
        <v>1244799</v>
      </c>
    </row>
    <row r="7" spans="1:6" x14ac:dyDescent="0.25">
      <c r="A7" s="17">
        <v>44754.511504629627</v>
      </c>
      <c r="B7">
        <v>2</v>
      </c>
      <c r="C7">
        <v>359593.6</v>
      </c>
      <c r="D7">
        <v>433738.8</v>
      </c>
      <c r="E7">
        <v>538966.6</v>
      </c>
      <c r="F7">
        <v>1242631.3999999999</v>
      </c>
    </row>
    <row r="8" spans="1:6" x14ac:dyDescent="0.25">
      <c r="A8" s="17">
        <v>44754.518449074072</v>
      </c>
      <c r="B8">
        <v>2</v>
      </c>
      <c r="C8">
        <v>356221.3</v>
      </c>
      <c r="D8">
        <v>422946.7</v>
      </c>
      <c r="E8">
        <v>542354.80000000005</v>
      </c>
      <c r="F8">
        <v>1234346</v>
      </c>
    </row>
    <row r="9" spans="1:6" x14ac:dyDescent="0.25">
      <c r="A9" s="17" t="s">
        <v>75</v>
      </c>
      <c r="B9">
        <f>AVERAGE(B3:B8)</f>
        <v>2</v>
      </c>
      <c r="C9">
        <f>AVERAGE(C3:C8)</f>
        <v>357826.3</v>
      </c>
      <c r="D9">
        <f>AVERAGE(D3:D8)</f>
        <v>433973.81666666665</v>
      </c>
      <c r="E9">
        <f>AVERAGE(E3:E8)</f>
        <v>535968.04999999993</v>
      </c>
      <c r="F9">
        <f>AVERAGE(F3:F8)</f>
        <v>1236756.3499999999</v>
      </c>
    </row>
    <row r="10" spans="1:6" x14ac:dyDescent="0.25">
      <c r="A10" s="17"/>
    </row>
    <row r="11" spans="1:6" x14ac:dyDescent="0.25">
      <c r="A11" s="17"/>
    </row>
    <row r="12" spans="1:6" x14ac:dyDescent="0.25">
      <c r="A12" s="17" t="s">
        <v>1</v>
      </c>
    </row>
    <row r="13" spans="1:6" x14ac:dyDescent="0.25">
      <c r="A13" s="17">
        <v>44754.525393518517</v>
      </c>
      <c r="B13">
        <v>2</v>
      </c>
      <c r="C13">
        <v>363689.7</v>
      </c>
      <c r="D13">
        <v>314690.90000000002</v>
      </c>
      <c r="E13">
        <v>282976.8</v>
      </c>
      <c r="F13">
        <v>633880.4</v>
      </c>
    </row>
    <row r="14" spans="1:6" x14ac:dyDescent="0.25">
      <c r="A14" s="17">
        <v>44754.532337962963</v>
      </c>
      <c r="B14">
        <v>2</v>
      </c>
      <c r="C14">
        <v>361747.1</v>
      </c>
      <c r="D14">
        <v>319003.3</v>
      </c>
      <c r="E14">
        <v>282598.8</v>
      </c>
      <c r="F14">
        <v>645157.80000000005</v>
      </c>
    </row>
    <row r="15" spans="1:6" x14ac:dyDescent="0.25">
      <c r="A15" s="17">
        <v>44754.539282407408</v>
      </c>
      <c r="B15">
        <v>2</v>
      </c>
      <c r="C15">
        <v>361847.1</v>
      </c>
      <c r="D15">
        <v>313356.3</v>
      </c>
      <c r="E15">
        <v>285029</v>
      </c>
      <c r="F15">
        <v>632330.6</v>
      </c>
    </row>
    <row r="16" spans="1:6" x14ac:dyDescent="0.25">
      <c r="A16" s="17">
        <v>44754.546226851853</v>
      </c>
      <c r="B16">
        <v>2</v>
      </c>
      <c r="C16">
        <v>360563.1</v>
      </c>
      <c r="D16">
        <v>307357.3</v>
      </c>
      <c r="E16">
        <v>288894.59999999998</v>
      </c>
      <c r="F16">
        <v>623511.80000000005</v>
      </c>
    </row>
    <row r="17" spans="1:6" x14ac:dyDescent="0.25">
      <c r="A17" s="17">
        <v>44754.553171296298</v>
      </c>
      <c r="B17">
        <v>2</v>
      </c>
      <c r="C17">
        <v>358731</v>
      </c>
      <c r="D17">
        <v>309983</v>
      </c>
      <c r="E17">
        <v>287760.2</v>
      </c>
      <c r="F17">
        <v>636004.5</v>
      </c>
    </row>
    <row r="18" spans="1:6" x14ac:dyDescent="0.25">
      <c r="A18" s="17">
        <v>44754.560115740744</v>
      </c>
      <c r="B18">
        <v>2</v>
      </c>
      <c r="C18">
        <v>360416.3</v>
      </c>
      <c r="D18">
        <v>329258.09999999998</v>
      </c>
      <c r="E18">
        <v>283040.09999999998</v>
      </c>
      <c r="F18">
        <v>630087</v>
      </c>
    </row>
    <row r="19" spans="1:6" x14ac:dyDescent="0.25">
      <c r="A19" s="17">
        <v>44754.567060185182</v>
      </c>
      <c r="B19">
        <v>2</v>
      </c>
      <c r="C19">
        <v>360384.7</v>
      </c>
      <c r="D19">
        <v>315022.7</v>
      </c>
      <c r="E19">
        <v>287606.40000000002</v>
      </c>
      <c r="F19">
        <v>641386.5</v>
      </c>
    </row>
    <row r="20" spans="1:6" x14ac:dyDescent="0.25">
      <c r="A20" s="17" t="s">
        <v>75</v>
      </c>
      <c r="B20">
        <f>AVERAGE(B14:B19)</f>
        <v>2</v>
      </c>
      <c r="C20">
        <f>AVERAGE(C13:C19)</f>
        <v>361054.14285714284</v>
      </c>
      <c r="D20">
        <f t="shared" ref="D20:F20" si="0">AVERAGE(D13:D19)</f>
        <v>315524.51428571431</v>
      </c>
      <c r="E20">
        <f t="shared" si="0"/>
        <v>285415.12857142853</v>
      </c>
      <c r="F20">
        <f t="shared" si="0"/>
        <v>634622.65714285721</v>
      </c>
    </row>
    <row r="21" spans="1:6" x14ac:dyDescent="0.25">
      <c r="A21" s="17"/>
    </row>
    <row r="22" spans="1:6" x14ac:dyDescent="0.25">
      <c r="A22" s="17" t="s">
        <v>2</v>
      </c>
    </row>
    <row r="23" spans="1:6" x14ac:dyDescent="0.25">
      <c r="A23" s="17">
        <v>44754.574004629627</v>
      </c>
      <c r="B23">
        <v>2</v>
      </c>
      <c r="C23">
        <v>361748.1</v>
      </c>
      <c r="D23">
        <v>104787.7</v>
      </c>
      <c r="E23">
        <v>85271.7</v>
      </c>
      <c r="F23">
        <v>207228.3</v>
      </c>
    </row>
    <row r="24" spans="1:6" x14ac:dyDescent="0.25">
      <c r="A24" s="17">
        <v>44754.580949074072</v>
      </c>
      <c r="B24">
        <v>2</v>
      </c>
      <c r="C24">
        <v>362669.5</v>
      </c>
      <c r="D24">
        <v>101973.7</v>
      </c>
      <c r="E24">
        <v>88892.6</v>
      </c>
      <c r="F24">
        <v>208188.9</v>
      </c>
    </row>
    <row r="25" spans="1:6" x14ac:dyDescent="0.25">
      <c r="A25" s="17">
        <v>44754.587893518517</v>
      </c>
      <c r="B25">
        <v>2</v>
      </c>
      <c r="C25">
        <v>363839.1</v>
      </c>
      <c r="D25">
        <v>105679.3</v>
      </c>
      <c r="E25">
        <v>87677</v>
      </c>
      <c r="F25">
        <v>212515.9</v>
      </c>
    </row>
    <row r="26" spans="1:6" x14ac:dyDescent="0.25">
      <c r="A26" s="17">
        <v>44754.594837962963</v>
      </c>
      <c r="B26">
        <v>2</v>
      </c>
      <c r="C26">
        <v>362174.3</v>
      </c>
      <c r="D26">
        <v>104005.2</v>
      </c>
      <c r="E26">
        <v>90836.5</v>
      </c>
      <c r="F26">
        <v>214235.7</v>
      </c>
    </row>
    <row r="27" spans="1:6" x14ac:dyDescent="0.25">
      <c r="A27" s="17">
        <v>44754.601782407408</v>
      </c>
      <c r="B27">
        <v>2</v>
      </c>
      <c r="C27">
        <v>362459.5</v>
      </c>
      <c r="D27">
        <v>95569</v>
      </c>
      <c r="E27">
        <v>84696.4</v>
      </c>
      <c r="F27">
        <v>205214.8</v>
      </c>
    </row>
    <row r="28" spans="1:6" x14ac:dyDescent="0.25">
      <c r="A28" s="17">
        <v>44754.608726851853</v>
      </c>
      <c r="B28">
        <v>2</v>
      </c>
      <c r="C28">
        <v>360267.1</v>
      </c>
      <c r="D28">
        <v>96149</v>
      </c>
      <c r="E28">
        <v>82761.2</v>
      </c>
      <c r="F28">
        <v>206385.8</v>
      </c>
    </row>
    <row r="29" spans="1:6" x14ac:dyDescent="0.25">
      <c r="A29" s="17">
        <v>44754.615671296298</v>
      </c>
      <c r="B29">
        <v>2</v>
      </c>
      <c r="C29">
        <v>360687.1</v>
      </c>
      <c r="D29">
        <v>92534.9</v>
      </c>
      <c r="E29">
        <v>86211.9</v>
      </c>
      <c r="F29">
        <v>200477.2</v>
      </c>
    </row>
    <row r="30" spans="1:6" x14ac:dyDescent="0.25">
      <c r="A30" s="17" t="s">
        <v>75</v>
      </c>
      <c r="B30">
        <f>AVERAGE(B24:B29)</f>
        <v>2</v>
      </c>
      <c r="C30">
        <f>AVERAGE(C24:C29)</f>
        <v>362016.10000000003</v>
      </c>
      <c r="D30">
        <f>AVERAGE(D24:D29)</f>
        <v>99318.516666666663</v>
      </c>
      <c r="E30">
        <f>AVERAGE(E24:E29)</f>
        <v>86845.933333333334</v>
      </c>
      <c r="F30">
        <f t="shared" ref="F30" si="1">AVERAGE(F24:F29)</f>
        <v>207836.38333333333</v>
      </c>
    </row>
    <row r="31" spans="1:6" x14ac:dyDescent="0.25">
      <c r="A31" s="17"/>
    </row>
    <row r="32" spans="1:6" x14ac:dyDescent="0.25">
      <c r="A32" s="17" t="s">
        <v>3</v>
      </c>
    </row>
    <row r="33" spans="1:6" x14ac:dyDescent="0.25">
      <c r="A33" s="17">
        <v>44754.629560185182</v>
      </c>
      <c r="B33">
        <v>2</v>
      </c>
      <c r="C33">
        <v>366712.9</v>
      </c>
      <c r="D33">
        <v>34969.5</v>
      </c>
      <c r="E33">
        <v>29286.9</v>
      </c>
      <c r="F33">
        <v>76079</v>
      </c>
    </row>
    <row r="34" spans="1:6" x14ac:dyDescent="0.25">
      <c r="A34" s="17">
        <v>44754.636504629627</v>
      </c>
      <c r="B34">
        <v>2</v>
      </c>
      <c r="C34">
        <v>366972.2</v>
      </c>
      <c r="D34">
        <v>37203</v>
      </c>
      <c r="E34">
        <v>25112</v>
      </c>
      <c r="F34">
        <v>75959.3</v>
      </c>
    </row>
    <row r="35" spans="1:6" x14ac:dyDescent="0.25">
      <c r="A35" s="17">
        <v>44754.643449074072</v>
      </c>
      <c r="B35">
        <v>2</v>
      </c>
      <c r="C35">
        <v>368465.8</v>
      </c>
      <c r="D35">
        <v>37590.300000000003</v>
      </c>
      <c r="E35">
        <v>25472</v>
      </c>
      <c r="F35">
        <v>70173.8</v>
      </c>
    </row>
    <row r="36" spans="1:6" x14ac:dyDescent="0.25">
      <c r="A36" s="17">
        <v>44754.650393518517</v>
      </c>
      <c r="B36">
        <v>2</v>
      </c>
      <c r="C36">
        <v>366288.9</v>
      </c>
      <c r="D36">
        <v>34385.300000000003</v>
      </c>
      <c r="E36">
        <v>31828.6</v>
      </c>
      <c r="F36">
        <v>71134.2</v>
      </c>
    </row>
    <row r="37" spans="1:6" x14ac:dyDescent="0.25">
      <c r="A37" s="17">
        <v>44754.657337962963</v>
      </c>
      <c r="B37">
        <v>2</v>
      </c>
      <c r="C37">
        <v>367078.7</v>
      </c>
      <c r="D37">
        <v>34534.400000000001</v>
      </c>
      <c r="E37">
        <v>30521.200000000001</v>
      </c>
      <c r="F37">
        <v>76437.8</v>
      </c>
    </row>
    <row r="38" spans="1:6" ht="12" customHeight="1" x14ac:dyDescent="0.25">
      <c r="A38" s="17" t="s">
        <v>75</v>
      </c>
      <c r="B38">
        <f>AVERAGE(B34:B37)</f>
        <v>2</v>
      </c>
      <c r="C38">
        <f>AVERAGE(C33:C37)</f>
        <v>367103.70000000007</v>
      </c>
      <c r="D38">
        <f t="shared" ref="D38:F38" si="2">AVERAGE(D33:D37)</f>
        <v>35736.5</v>
      </c>
      <c r="E38">
        <f t="shared" si="2"/>
        <v>28444.140000000003</v>
      </c>
      <c r="F38">
        <f t="shared" si="2"/>
        <v>73956.819999999992</v>
      </c>
    </row>
    <row r="39" spans="1:6" ht="12" customHeight="1" x14ac:dyDescent="0.25">
      <c r="A39" s="17"/>
    </row>
    <row r="40" spans="1:6" x14ac:dyDescent="0.25">
      <c r="A40" s="17" t="s">
        <v>7</v>
      </c>
    </row>
    <row r="41" spans="1:6" x14ac:dyDescent="0.25">
      <c r="A41" s="17">
        <v>44754.685115740744</v>
      </c>
      <c r="B41">
        <v>2</v>
      </c>
      <c r="C41">
        <v>367424.3</v>
      </c>
      <c r="D41">
        <v>20398.3</v>
      </c>
      <c r="E41">
        <v>17538.599999999999</v>
      </c>
      <c r="F41">
        <v>49201.4</v>
      </c>
    </row>
    <row r="42" spans="1:6" x14ac:dyDescent="0.25">
      <c r="A42" s="17">
        <v>44754.692060185182</v>
      </c>
      <c r="B42">
        <v>2</v>
      </c>
      <c r="C42">
        <v>367833.3</v>
      </c>
      <c r="D42">
        <v>20086.099999999999</v>
      </c>
      <c r="E42">
        <v>16488.900000000001</v>
      </c>
      <c r="F42">
        <v>43908.2</v>
      </c>
    </row>
    <row r="43" spans="1:6" x14ac:dyDescent="0.25">
      <c r="A43" s="17">
        <v>44754.699004629627</v>
      </c>
      <c r="B43">
        <v>2</v>
      </c>
      <c r="C43">
        <v>369375.6</v>
      </c>
      <c r="D43">
        <v>24080.2</v>
      </c>
      <c r="E43">
        <v>18293.400000000001</v>
      </c>
      <c r="F43">
        <v>49815.1</v>
      </c>
    </row>
    <row r="44" spans="1:6" x14ac:dyDescent="0.25">
      <c r="A44" s="17">
        <v>44754.707337962966</v>
      </c>
      <c r="B44">
        <v>2</v>
      </c>
      <c r="C44">
        <v>370306.2</v>
      </c>
      <c r="D44">
        <v>22513.7</v>
      </c>
      <c r="E44">
        <v>21603.5</v>
      </c>
      <c r="F44">
        <v>44343.4</v>
      </c>
    </row>
    <row r="45" spans="1:6" x14ac:dyDescent="0.25">
      <c r="A45" s="17">
        <v>44754.714282407411</v>
      </c>
      <c r="B45">
        <v>2</v>
      </c>
      <c r="C45">
        <v>369037.3</v>
      </c>
      <c r="D45">
        <v>20275.599999999999</v>
      </c>
      <c r="E45">
        <v>21074.5</v>
      </c>
      <c r="F45">
        <v>51698.6</v>
      </c>
    </row>
    <row r="46" spans="1:6" x14ac:dyDescent="0.25">
      <c r="A46" s="17">
        <v>44754.721226851849</v>
      </c>
      <c r="B46">
        <v>2</v>
      </c>
      <c r="C46">
        <v>369457.6</v>
      </c>
      <c r="D46">
        <v>20262.599999999999</v>
      </c>
      <c r="E46">
        <v>18720.599999999999</v>
      </c>
      <c r="F46">
        <v>49380.6</v>
      </c>
    </row>
    <row r="47" spans="1:6" x14ac:dyDescent="0.25">
      <c r="A47" s="17" t="s">
        <v>75</v>
      </c>
      <c r="B47">
        <f>AVERAGE(B43:B46)</f>
        <v>2</v>
      </c>
      <c r="C47">
        <f>AVERAGE(C41:C46)</f>
        <v>368905.71666666662</v>
      </c>
      <c r="D47">
        <f t="shared" ref="D47:F47" si="3">AVERAGE(D41:D46)</f>
        <v>21269.416666666668</v>
      </c>
      <c r="E47">
        <f t="shared" si="3"/>
        <v>18953.25</v>
      </c>
      <c r="F47">
        <f t="shared" si="3"/>
        <v>48057.883333333331</v>
      </c>
    </row>
    <row r="48" spans="1:6" x14ac:dyDescent="0.25">
      <c r="A48" s="17"/>
    </row>
    <row r="50" spans="1:1" x14ac:dyDescent="0.25">
      <c r="A50" s="17"/>
    </row>
    <row r="51" spans="1:1" x14ac:dyDescent="0.25">
      <c r="A51" s="17"/>
    </row>
    <row r="52" spans="1:1" x14ac:dyDescent="0.25">
      <c r="A52" s="17"/>
    </row>
    <row r="53" spans="1:1" x14ac:dyDescent="0.25">
      <c r="A53" s="17"/>
    </row>
    <row r="54" spans="1:1" x14ac:dyDescent="0.25">
      <c r="A54" s="17"/>
    </row>
    <row r="55" spans="1:1" x14ac:dyDescent="0.25">
      <c r="A55" s="17"/>
    </row>
    <row r="56" spans="1:1" x14ac:dyDescent="0.25">
      <c r="A56" s="17"/>
    </row>
    <row r="57" spans="1:1" x14ac:dyDescent="0.25">
      <c r="A57" s="17"/>
    </row>
    <row r="58" spans="1:1" x14ac:dyDescent="0.25">
      <c r="A58" s="17"/>
    </row>
    <row r="59" spans="1:1" x14ac:dyDescent="0.25">
      <c r="A59" s="17"/>
    </row>
    <row r="60" spans="1:1" x14ac:dyDescent="0.25">
      <c r="A60" s="17"/>
    </row>
    <row r="61" spans="1:1" x14ac:dyDescent="0.25">
      <c r="A61" s="17"/>
    </row>
    <row r="62" spans="1:1" x14ac:dyDescent="0.25">
      <c r="A62" s="17"/>
    </row>
    <row r="63" spans="1:1" x14ac:dyDescent="0.25">
      <c r="A63" s="17"/>
    </row>
    <row r="65" spans="1:1" x14ac:dyDescent="0.25">
      <c r="A65" s="17"/>
    </row>
    <row r="66" spans="1:1" x14ac:dyDescent="0.25">
      <c r="A66" s="17"/>
    </row>
    <row r="67" spans="1:1" x14ac:dyDescent="0.25">
      <c r="A67" s="17"/>
    </row>
    <row r="68" spans="1:1" x14ac:dyDescent="0.25">
      <c r="A68" s="17"/>
    </row>
    <row r="69" spans="1:1" x14ac:dyDescent="0.25">
      <c r="A69" s="17"/>
    </row>
    <row r="70" spans="1:1" x14ac:dyDescent="0.25">
      <c r="A70" s="17"/>
    </row>
    <row r="71" spans="1:1" x14ac:dyDescent="0.25">
      <c r="A71" s="17"/>
    </row>
    <row r="72" spans="1:1" x14ac:dyDescent="0.25">
      <c r="A72" s="17"/>
    </row>
    <row r="78" spans="1:1" x14ac:dyDescent="0.25">
      <c r="A78" s="17"/>
    </row>
    <row r="79" spans="1:1" x14ac:dyDescent="0.25">
      <c r="A79" s="17"/>
    </row>
    <row r="80" spans="1:1" x14ac:dyDescent="0.25">
      <c r="A80" s="17"/>
    </row>
    <row r="81" spans="1:6" x14ac:dyDescent="0.25">
      <c r="A81" s="17"/>
    </row>
    <row r="82" spans="1:6" x14ac:dyDescent="0.25">
      <c r="A82" s="17"/>
    </row>
    <row r="83" spans="1:6" x14ac:dyDescent="0.25">
      <c r="A83" s="17"/>
    </row>
    <row r="84" spans="1:6" x14ac:dyDescent="0.25">
      <c r="A84" s="17"/>
    </row>
    <row r="85" spans="1:6" x14ac:dyDescent="0.25">
      <c r="A85" s="17"/>
    </row>
    <row r="86" spans="1:6" x14ac:dyDescent="0.25"/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zoomScale="80" zoomScaleNormal="80" workbookViewId="0">
      <pane ySplit="1" topLeftCell="A2" activePane="bottomLeft" state="frozen"/>
      <selection pane="bottomLeft" activeCell="A15" sqref="A15"/>
    </sheetView>
  </sheetViews>
  <sheetFormatPr baseColWidth="10" defaultRowHeight="15" x14ac:dyDescent="0.25"/>
  <cols>
    <col min="1" max="1" width="17" bestFit="1" customWidth="1"/>
    <col min="2" max="2" width="8" bestFit="1" customWidth="1"/>
    <col min="3" max="5" width="8.5703125" bestFit="1" customWidth="1"/>
  </cols>
  <sheetData>
    <row r="1" spans="1:7" x14ac:dyDescent="0.25">
      <c r="A1" s="2" t="s">
        <v>72</v>
      </c>
      <c r="B1" s="2" t="s">
        <v>73</v>
      </c>
      <c r="C1" s="2" t="s">
        <v>87</v>
      </c>
      <c r="D1" s="2" t="s">
        <v>65</v>
      </c>
      <c r="E1" s="2" t="s">
        <v>30</v>
      </c>
      <c r="G1" s="2"/>
    </row>
    <row r="2" spans="1:7" x14ac:dyDescent="0.25">
      <c r="A2" s="13"/>
      <c r="B2" s="13"/>
      <c r="C2" s="13"/>
      <c r="D2" s="13"/>
      <c r="E2" s="13"/>
    </row>
    <row r="3" spans="1:7" x14ac:dyDescent="0.25">
      <c r="A3" s="13" t="s">
        <v>0</v>
      </c>
      <c r="B3" s="13"/>
      <c r="C3" s="13"/>
      <c r="D3" s="13"/>
      <c r="E3" s="13"/>
    </row>
    <row r="4" spans="1:7" x14ac:dyDescent="0.25">
      <c r="A4" s="17">
        <v>44768.459421296298</v>
      </c>
      <c r="B4">
        <v>2</v>
      </c>
      <c r="C4">
        <v>373152.6</v>
      </c>
      <c r="D4">
        <v>172549.7</v>
      </c>
      <c r="E4">
        <v>216863.8</v>
      </c>
    </row>
    <row r="5" spans="1:7" x14ac:dyDescent="0.25">
      <c r="A5" s="17">
        <v>44768.466365740744</v>
      </c>
      <c r="B5">
        <v>2</v>
      </c>
      <c r="C5">
        <v>375238.3</v>
      </c>
      <c r="D5">
        <v>167212.29999999999</v>
      </c>
      <c r="E5">
        <v>215648.7</v>
      </c>
    </row>
    <row r="6" spans="1:7" x14ac:dyDescent="0.25">
      <c r="A6" s="17">
        <v>44768.473310185182</v>
      </c>
      <c r="B6">
        <v>2</v>
      </c>
      <c r="C6">
        <v>371028.2</v>
      </c>
      <c r="D6">
        <v>179149</v>
      </c>
      <c r="E6">
        <v>219227</v>
      </c>
    </row>
    <row r="7" spans="1:7" x14ac:dyDescent="0.25">
      <c r="A7" s="17" t="s">
        <v>75</v>
      </c>
      <c r="C7">
        <f>AVERAGE(C4:C6)</f>
        <v>373139.69999999995</v>
      </c>
      <c r="D7">
        <f>AVERAGE(D4:D6)</f>
        <v>172970.33333333334</v>
      </c>
      <c r="E7">
        <f>AVERAGE(E4:E6)</f>
        <v>217246.5</v>
      </c>
    </row>
    <row r="8" spans="1:7" x14ac:dyDescent="0.25">
      <c r="A8" s="17"/>
    </row>
    <row r="9" spans="1:7" x14ac:dyDescent="0.25">
      <c r="A9" s="17"/>
    </row>
    <row r="10" spans="1:7" x14ac:dyDescent="0.25">
      <c r="A10" s="13" t="s">
        <v>1</v>
      </c>
    </row>
    <row r="11" spans="1:7" x14ac:dyDescent="0.25">
      <c r="A11" s="17">
        <v>44768.487199074072</v>
      </c>
      <c r="B11">
        <v>2</v>
      </c>
      <c r="C11">
        <v>373828</v>
      </c>
      <c r="D11">
        <v>271968</v>
      </c>
      <c r="E11">
        <v>339158</v>
      </c>
    </row>
    <row r="12" spans="1:7" x14ac:dyDescent="0.25">
      <c r="A12" s="17">
        <v>44768.494143518517</v>
      </c>
      <c r="B12">
        <v>2</v>
      </c>
      <c r="C12">
        <v>373770.8</v>
      </c>
      <c r="D12">
        <v>273686.5</v>
      </c>
      <c r="E12">
        <v>338283</v>
      </c>
    </row>
    <row r="13" spans="1:7" x14ac:dyDescent="0.25">
      <c r="A13" s="17">
        <v>44768.501087962963</v>
      </c>
      <c r="B13">
        <v>2</v>
      </c>
      <c r="C13">
        <v>376876.4</v>
      </c>
      <c r="D13">
        <v>275527</v>
      </c>
      <c r="E13">
        <v>340085.8</v>
      </c>
    </row>
    <row r="14" spans="1:7" x14ac:dyDescent="0.25">
      <c r="A14" s="17">
        <v>44768.508032407408</v>
      </c>
      <c r="B14">
        <v>2</v>
      </c>
      <c r="C14">
        <v>372489.7</v>
      </c>
      <c r="D14">
        <v>277423.3</v>
      </c>
      <c r="E14">
        <v>334433</v>
      </c>
    </row>
    <row r="15" spans="1:7" x14ac:dyDescent="0.25">
      <c r="A15" s="17">
        <v>44768.514976851853</v>
      </c>
      <c r="B15">
        <v>2</v>
      </c>
      <c r="C15">
        <v>376225.2</v>
      </c>
      <c r="D15">
        <v>273569.2</v>
      </c>
      <c r="E15">
        <v>339094.4</v>
      </c>
    </row>
    <row r="16" spans="1:7" x14ac:dyDescent="0.25">
      <c r="A16" s="17" t="s">
        <v>75</v>
      </c>
      <c r="C16">
        <f>AVERAGE(C11:C15)</f>
        <v>374638.02</v>
      </c>
      <c r="D16">
        <f t="shared" ref="D16:E16" si="0">AVERAGE(D11:D15)</f>
        <v>274434.8</v>
      </c>
      <c r="E16">
        <f t="shared" si="0"/>
        <v>338210.84</v>
      </c>
    </row>
    <row r="17" spans="1:5" x14ac:dyDescent="0.25">
      <c r="A17" s="17"/>
    </row>
    <row r="18" spans="1:5" x14ac:dyDescent="0.25">
      <c r="A18" s="17"/>
    </row>
    <row r="19" spans="1:5" x14ac:dyDescent="0.25">
      <c r="A19" s="13" t="s">
        <v>2</v>
      </c>
    </row>
    <row r="20" spans="1:5" x14ac:dyDescent="0.25">
      <c r="A20" s="17">
        <v>44768.542754629627</v>
      </c>
      <c r="B20">
        <v>2</v>
      </c>
      <c r="C20">
        <v>376909.2</v>
      </c>
      <c r="D20">
        <v>351122.9</v>
      </c>
      <c r="E20">
        <v>447338.4</v>
      </c>
    </row>
    <row r="21" spans="1:5" x14ac:dyDescent="0.25">
      <c r="A21" s="17">
        <v>44768.549699074072</v>
      </c>
      <c r="B21">
        <v>2</v>
      </c>
      <c r="C21">
        <v>373591.8</v>
      </c>
      <c r="D21">
        <v>351810.4</v>
      </c>
      <c r="E21">
        <v>460857.8</v>
      </c>
    </row>
    <row r="22" spans="1:5" x14ac:dyDescent="0.25">
      <c r="A22" s="17">
        <v>44768.556643518517</v>
      </c>
      <c r="B22">
        <v>2</v>
      </c>
      <c r="C22">
        <v>375211</v>
      </c>
      <c r="D22">
        <v>347348</v>
      </c>
      <c r="E22">
        <v>445921.8</v>
      </c>
    </row>
    <row r="23" spans="1:5" x14ac:dyDescent="0.25">
      <c r="A23" s="17" t="s">
        <v>75</v>
      </c>
      <c r="C23">
        <f>AVERAGE(C19:C22)</f>
        <v>375237.33333333331</v>
      </c>
      <c r="D23">
        <f>AVERAGE(D19:D22)</f>
        <v>350093.76666666666</v>
      </c>
      <c r="E23">
        <f>AVERAGE(E19:E22)</f>
        <v>451372.66666666669</v>
      </c>
    </row>
    <row r="24" spans="1:5" x14ac:dyDescent="0.25">
      <c r="A24" s="17"/>
    </row>
    <row r="25" spans="1:5" x14ac:dyDescent="0.25">
      <c r="A25" s="17"/>
    </row>
    <row r="26" spans="1:5" x14ac:dyDescent="0.25">
      <c r="A26" s="13" t="s">
        <v>3</v>
      </c>
    </row>
    <row r="27" spans="1:5" x14ac:dyDescent="0.25">
      <c r="A27" s="17">
        <v>44768.577476851853</v>
      </c>
      <c r="B27">
        <v>2</v>
      </c>
      <c r="C27">
        <v>375191.7</v>
      </c>
      <c r="D27">
        <v>408597.6</v>
      </c>
      <c r="E27">
        <v>576930.1</v>
      </c>
    </row>
    <row r="28" spans="1:5" x14ac:dyDescent="0.25">
      <c r="A28" s="17">
        <v>44768.584421296298</v>
      </c>
      <c r="B28">
        <v>2</v>
      </c>
      <c r="C28">
        <v>374815.5</v>
      </c>
      <c r="D28">
        <v>405691.5</v>
      </c>
      <c r="E28">
        <v>574165.5</v>
      </c>
    </row>
    <row r="29" spans="1:5" x14ac:dyDescent="0.25">
      <c r="A29" s="17">
        <v>44768.591365740744</v>
      </c>
      <c r="B29">
        <v>2</v>
      </c>
      <c r="C29">
        <v>373828</v>
      </c>
      <c r="D29">
        <v>406170.6</v>
      </c>
      <c r="E29">
        <v>577927.4</v>
      </c>
    </row>
    <row r="30" spans="1:5" x14ac:dyDescent="0.25">
      <c r="A30" s="17">
        <v>44768.598310185182</v>
      </c>
      <c r="B30">
        <v>2</v>
      </c>
      <c r="C30">
        <v>377327.9</v>
      </c>
      <c r="D30">
        <v>404988.4</v>
      </c>
      <c r="E30">
        <v>575902.9</v>
      </c>
    </row>
    <row r="31" spans="1:5" x14ac:dyDescent="0.25">
      <c r="A31" s="17" t="s">
        <v>75</v>
      </c>
      <c r="C31">
        <f>AVERAGE(C27:C30)</f>
        <v>375290.77500000002</v>
      </c>
      <c r="D31">
        <f>AVERAGE(D27:D30)</f>
        <v>406362.02500000002</v>
      </c>
      <c r="E31">
        <f>AVERAGE(E27:E30)</f>
        <v>576231.47499999998</v>
      </c>
    </row>
    <row r="32" spans="1:5" x14ac:dyDescent="0.25">
      <c r="A32" s="17"/>
    </row>
    <row r="33" spans="1:5" x14ac:dyDescent="0.25">
      <c r="A33" s="17"/>
    </row>
    <row r="34" spans="1:5" x14ac:dyDescent="0.25">
      <c r="A34" s="13" t="s">
        <v>7</v>
      </c>
    </row>
    <row r="35" spans="1:5" x14ac:dyDescent="0.25">
      <c r="A35" s="17">
        <v>44768.612199074072</v>
      </c>
      <c r="B35">
        <v>2</v>
      </c>
      <c r="C35">
        <v>378868</v>
      </c>
      <c r="D35">
        <v>476529.8</v>
      </c>
      <c r="E35">
        <v>894426.1</v>
      </c>
    </row>
    <row r="36" spans="1:5" x14ac:dyDescent="0.25">
      <c r="A36" s="17">
        <v>44768.619143518517</v>
      </c>
      <c r="B36">
        <v>2</v>
      </c>
      <c r="C36">
        <v>375140.3</v>
      </c>
      <c r="D36">
        <v>479047</v>
      </c>
      <c r="E36">
        <v>894234.9</v>
      </c>
    </row>
    <row r="37" spans="1:5" x14ac:dyDescent="0.25">
      <c r="A37" s="17">
        <v>44768.626087962963</v>
      </c>
      <c r="B37">
        <v>2</v>
      </c>
      <c r="C37">
        <v>375045.8</v>
      </c>
      <c r="D37">
        <v>473459</v>
      </c>
      <c r="E37">
        <v>904890.3</v>
      </c>
    </row>
    <row r="38" spans="1:5" x14ac:dyDescent="0.25">
      <c r="A38" s="17">
        <v>44768.633032407408</v>
      </c>
      <c r="B38">
        <v>2</v>
      </c>
      <c r="C38">
        <v>374577.8</v>
      </c>
      <c r="D38">
        <v>474837.6</v>
      </c>
      <c r="E38">
        <v>905397.9</v>
      </c>
    </row>
    <row r="39" spans="1:5" x14ac:dyDescent="0.25">
      <c r="A39" s="17">
        <v>44768.639976851853</v>
      </c>
      <c r="B39">
        <v>2</v>
      </c>
      <c r="C39">
        <v>374795.5</v>
      </c>
      <c r="D39">
        <v>475196.5</v>
      </c>
      <c r="E39">
        <v>889296.2</v>
      </c>
    </row>
    <row r="40" spans="1:5" x14ac:dyDescent="0.25">
      <c r="A40" s="17" t="s">
        <v>75</v>
      </c>
      <c r="C40">
        <f>AVERAGE(C35:C39)</f>
        <v>375685.48000000004</v>
      </c>
      <c r="D40">
        <f t="shared" ref="D40:E40" si="1">AVERAGE(D35:D39)</f>
        <v>475813.98</v>
      </c>
      <c r="E40">
        <f t="shared" si="1"/>
        <v>897649.07999999984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02"/>
  <sheetViews>
    <sheetView topLeftCell="A118" zoomScale="80" zoomScaleNormal="80" workbookViewId="0">
      <selection activeCell="L109" sqref="L109"/>
    </sheetView>
  </sheetViews>
  <sheetFormatPr baseColWidth="10" defaultColWidth="9.140625" defaultRowHeight="15" x14ac:dyDescent="0.25"/>
  <cols>
    <col min="1" max="1" width="9.140625" style="18"/>
    <col min="2" max="2" width="25" style="20" bestFit="1" customWidth="1"/>
    <col min="3" max="3" width="12" style="18" bestFit="1" customWidth="1"/>
    <col min="4" max="4" width="18" style="20" customWidth="1"/>
    <col min="5" max="5" width="19.85546875" style="20" bestFit="1" customWidth="1"/>
    <col min="6" max="6" width="13.5703125" style="18" customWidth="1"/>
    <col min="7" max="7" width="22.28515625" style="82" customWidth="1"/>
    <col min="8" max="8" width="11.7109375" style="18" customWidth="1"/>
    <col min="9" max="9" width="10.28515625" style="18" bestFit="1" customWidth="1"/>
    <col min="10" max="10" width="8.28515625" style="18" bestFit="1" customWidth="1"/>
    <col min="11" max="11" width="11.7109375" style="18" customWidth="1"/>
    <col min="12" max="12" width="21.7109375" style="21" customWidth="1"/>
    <col min="13" max="13" width="11.42578125" style="18" bestFit="1" customWidth="1"/>
    <col min="14" max="16384" width="9.140625" style="18"/>
  </cols>
  <sheetData>
    <row r="1" spans="2:13" ht="31.5" x14ac:dyDescent="0.5">
      <c r="B1" s="19" t="s">
        <v>59</v>
      </c>
    </row>
    <row r="3" spans="2:13" x14ac:dyDescent="0.25">
      <c r="J3" s="22"/>
      <c r="K3" s="23"/>
    </row>
    <row r="4" spans="2:13" x14ac:dyDescent="0.25">
      <c r="B4" s="24"/>
      <c r="C4" s="25" t="s">
        <v>57</v>
      </c>
      <c r="D4" s="26"/>
      <c r="E4" s="26"/>
      <c r="J4" s="22"/>
      <c r="K4" s="23"/>
    </row>
    <row r="5" spans="2:13" x14ac:dyDescent="0.25">
      <c r="B5" s="18"/>
      <c r="D5" s="18"/>
      <c r="E5" s="18"/>
      <c r="F5" s="23"/>
      <c r="G5" s="83"/>
      <c r="H5" s="23"/>
      <c r="I5" s="23"/>
      <c r="J5" s="23"/>
      <c r="K5" s="23"/>
    </row>
    <row r="6" spans="2:13" ht="15.75" x14ac:dyDescent="0.25">
      <c r="B6" s="27"/>
      <c r="C6" s="25" t="s">
        <v>39</v>
      </c>
      <c r="D6" s="28"/>
      <c r="E6" s="28"/>
      <c r="F6" s="29"/>
      <c r="G6" s="55"/>
      <c r="H6" s="29"/>
      <c r="I6" s="29"/>
      <c r="J6" s="29"/>
      <c r="K6" s="29"/>
    </row>
    <row r="7" spans="2:13" s="30" customFormat="1" ht="15.75" x14ac:dyDescent="0.25">
      <c r="B7" s="18"/>
      <c r="C7" s="25"/>
      <c r="D7" s="28"/>
      <c r="E7" s="28"/>
      <c r="F7" s="31"/>
      <c r="G7" s="84"/>
      <c r="H7" s="31"/>
      <c r="I7" s="31"/>
      <c r="J7" s="31"/>
      <c r="K7" s="31"/>
      <c r="L7" s="32"/>
    </row>
    <row r="8" spans="2:13" s="30" customFormat="1" ht="15.75" x14ac:dyDescent="0.25">
      <c r="B8" s="33"/>
      <c r="C8" s="25" t="s">
        <v>77</v>
      </c>
      <c r="D8" s="28"/>
      <c r="E8" s="28"/>
      <c r="F8" s="31"/>
      <c r="G8" s="84"/>
      <c r="H8" s="31"/>
      <c r="I8" s="31"/>
      <c r="J8" s="31"/>
      <c r="K8" s="31"/>
      <c r="L8" s="32"/>
    </row>
    <row r="9" spans="2:13" s="30" customFormat="1" ht="31.5" x14ac:dyDescent="0.25">
      <c r="B9" s="18"/>
      <c r="C9" s="25"/>
      <c r="D9" s="28"/>
      <c r="E9" s="28"/>
      <c r="F9" s="31"/>
      <c r="G9" s="84"/>
      <c r="H9" s="31"/>
      <c r="I9" s="31"/>
      <c r="J9" s="31"/>
      <c r="K9" s="31"/>
      <c r="L9" s="34" t="s">
        <v>55</v>
      </c>
    </row>
    <row r="10" spans="2:13" s="30" customFormat="1" ht="15.75" x14ac:dyDescent="0.25">
      <c r="B10" s="18"/>
      <c r="C10" s="25"/>
      <c r="D10" s="28"/>
      <c r="E10" s="28"/>
      <c r="F10" s="31"/>
      <c r="G10" s="84"/>
      <c r="H10" s="31"/>
      <c r="I10" s="31"/>
      <c r="J10" s="31"/>
      <c r="K10" s="31"/>
      <c r="L10" s="32"/>
    </row>
    <row r="11" spans="2:13" s="30" customFormat="1" ht="15.75" x14ac:dyDescent="0.25">
      <c r="B11" s="18"/>
      <c r="C11" s="25"/>
      <c r="D11" s="28"/>
      <c r="E11" s="28"/>
      <c r="F11" s="31"/>
      <c r="G11" s="84"/>
      <c r="H11" s="31"/>
      <c r="I11" s="31"/>
      <c r="J11" s="31"/>
      <c r="K11" s="31"/>
      <c r="L11" s="32"/>
    </row>
    <row r="12" spans="2:13" ht="15.75" x14ac:dyDescent="0.25">
      <c r="B12" s="18"/>
      <c r="D12" s="18"/>
      <c r="E12" s="18"/>
      <c r="F12" s="35"/>
      <c r="G12" s="85"/>
      <c r="H12" s="35"/>
      <c r="I12" s="35"/>
      <c r="J12" s="35"/>
      <c r="K12" s="36" t="s">
        <v>40</v>
      </c>
      <c r="L12" s="37" t="e">
        <f>EXP(INDEX(LINEST(LN(E15:E19),LN(I15:I19)),1,2))</f>
        <v>#VALUE!</v>
      </c>
      <c r="M12" s="38"/>
    </row>
    <row r="13" spans="2:13" ht="21" customHeight="1" x14ac:dyDescent="0.35">
      <c r="B13" s="39" t="s">
        <v>25</v>
      </c>
      <c r="C13" s="25"/>
      <c r="D13" s="28"/>
      <c r="E13" s="28"/>
      <c r="F13" s="40"/>
      <c r="G13" s="86"/>
      <c r="H13" s="40"/>
      <c r="I13" s="40"/>
      <c r="J13" s="41"/>
      <c r="K13" s="36" t="s">
        <v>41</v>
      </c>
      <c r="L13" s="37" t="e">
        <f>INDEX(LINEST(LN(E15:E19),LN(I15:I19),,),1)</f>
        <v>#VALUE!</v>
      </c>
      <c r="M13" s="38"/>
    </row>
    <row r="14" spans="2:13" s="23" customFormat="1" ht="24" customHeight="1" x14ac:dyDescent="0.25">
      <c r="B14" s="42" t="s">
        <v>42</v>
      </c>
      <c r="C14" s="43" t="s">
        <v>43</v>
      </c>
      <c r="D14" s="44" t="s">
        <v>44</v>
      </c>
      <c r="E14" s="45" t="s">
        <v>45</v>
      </c>
      <c r="F14" s="44" t="s">
        <v>46</v>
      </c>
      <c r="G14" s="44" t="s">
        <v>47</v>
      </c>
      <c r="H14" s="46" t="s">
        <v>48</v>
      </c>
      <c r="I14" s="47" t="s">
        <v>49</v>
      </c>
      <c r="J14" s="48"/>
    </row>
    <row r="15" spans="2:13" ht="15" customHeight="1" x14ac:dyDescent="0.25">
      <c r="B15" s="49">
        <v>1</v>
      </c>
      <c r="C15" s="50">
        <v>24.04</v>
      </c>
      <c r="D15" s="87"/>
      <c r="E15" s="51">
        <f t="shared" ref="E15:E21" si="0">(D15*H15)/(C15*1000)</f>
        <v>0</v>
      </c>
      <c r="F15" s="89" t="e">
        <f>#REF!</f>
        <v>#REF!</v>
      </c>
      <c r="G15" s="52">
        <v>100000</v>
      </c>
      <c r="H15" s="53">
        <v>90.19</v>
      </c>
      <c r="I15" s="54" t="e">
        <f t="shared" ref="I15:I21" si="1">F15/G15</f>
        <v>#REF!</v>
      </c>
      <c r="J15" s="21"/>
      <c r="L15" s="18"/>
    </row>
    <row r="16" spans="2:13" ht="15" customHeight="1" x14ac:dyDescent="0.25">
      <c r="B16" s="49">
        <v>2</v>
      </c>
      <c r="C16" s="50">
        <f>$C$15</f>
        <v>24.04</v>
      </c>
      <c r="D16" s="87"/>
      <c r="E16" s="51">
        <f t="shared" si="0"/>
        <v>0</v>
      </c>
      <c r="F16" s="89" t="e">
        <f>#REF!</f>
        <v>#REF!</v>
      </c>
      <c r="G16" s="49">
        <f t="shared" ref="G16:G21" si="2">$G$15</f>
        <v>100000</v>
      </c>
      <c r="H16" s="53">
        <f t="shared" ref="H16:H21" si="3">$H$15</f>
        <v>90.19</v>
      </c>
      <c r="I16" s="54" t="e">
        <f t="shared" si="1"/>
        <v>#REF!</v>
      </c>
      <c r="J16" s="21"/>
      <c r="L16" s="18"/>
    </row>
    <row r="17" spans="1:12" ht="15.75" x14ac:dyDescent="0.25">
      <c r="B17" s="49">
        <v>3</v>
      </c>
      <c r="C17" s="50">
        <f t="shared" ref="C17:C21" si="4">$C$15</f>
        <v>24.04</v>
      </c>
      <c r="D17" s="87"/>
      <c r="E17" s="51">
        <f t="shared" si="0"/>
        <v>0</v>
      </c>
      <c r="F17" s="89" t="e">
        <f>#REF!</f>
        <v>#REF!</v>
      </c>
      <c r="G17" s="49">
        <f t="shared" si="2"/>
        <v>100000</v>
      </c>
      <c r="H17" s="53">
        <f t="shared" si="3"/>
        <v>90.19</v>
      </c>
      <c r="I17" s="54" t="e">
        <f t="shared" si="1"/>
        <v>#REF!</v>
      </c>
      <c r="J17" s="21"/>
      <c r="L17" s="18"/>
    </row>
    <row r="18" spans="1:12" ht="15.75" x14ac:dyDescent="0.25">
      <c r="B18" s="49">
        <v>4</v>
      </c>
      <c r="C18" s="50">
        <f t="shared" si="4"/>
        <v>24.04</v>
      </c>
      <c r="D18" s="87"/>
      <c r="E18" s="51">
        <f t="shared" si="0"/>
        <v>0</v>
      </c>
      <c r="F18" s="89" t="e">
        <f>#REF!</f>
        <v>#REF!</v>
      </c>
      <c r="G18" s="49">
        <f t="shared" si="2"/>
        <v>100000</v>
      </c>
      <c r="H18" s="53">
        <f t="shared" si="3"/>
        <v>90.19</v>
      </c>
      <c r="I18" s="54" t="e">
        <f t="shared" si="1"/>
        <v>#REF!</v>
      </c>
      <c r="J18" s="21"/>
      <c r="L18" s="18"/>
    </row>
    <row r="19" spans="1:12" ht="15.75" x14ac:dyDescent="0.25">
      <c r="B19" s="49">
        <v>5</v>
      </c>
      <c r="C19" s="50">
        <f t="shared" si="4"/>
        <v>24.04</v>
      </c>
      <c r="D19" s="87"/>
      <c r="E19" s="51">
        <f t="shared" si="0"/>
        <v>0</v>
      </c>
      <c r="F19" s="89" t="e">
        <f>#REF!</f>
        <v>#REF!</v>
      </c>
      <c r="G19" s="49">
        <f t="shared" si="2"/>
        <v>100000</v>
      </c>
      <c r="H19" s="53">
        <f t="shared" si="3"/>
        <v>90.19</v>
      </c>
      <c r="I19" s="54" t="e">
        <f t="shared" si="1"/>
        <v>#REF!</v>
      </c>
      <c r="J19" s="21"/>
      <c r="L19" s="18"/>
    </row>
    <row r="20" spans="1:12" ht="15.75" x14ac:dyDescent="0.25">
      <c r="B20" s="49"/>
      <c r="C20" s="50">
        <f t="shared" si="4"/>
        <v>24.04</v>
      </c>
      <c r="D20" s="87"/>
      <c r="E20" s="51">
        <f t="shared" si="0"/>
        <v>0</v>
      </c>
      <c r="F20" s="89"/>
      <c r="G20" s="49">
        <f t="shared" si="2"/>
        <v>100000</v>
      </c>
      <c r="H20" s="53">
        <f t="shared" si="3"/>
        <v>90.19</v>
      </c>
      <c r="I20" s="54">
        <f t="shared" si="1"/>
        <v>0</v>
      </c>
      <c r="J20" s="21"/>
      <c r="L20" s="18"/>
    </row>
    <row r="21" spans="1:12" ht="15.75" x14ac:dyDescent="0.25">
      <c r="B21" s="49"/>
      <c r="C21" s="50">
        <f t="shared" si="4"/>
        <v>24.04</v>
      </c>
      <c r="D21" s="87"/>
      <c r="E21" s="51">
        <f t="shared" si="0"/>
        <v>0</v>
      </c>
      <c r="F21" s="89"/>
      <c r="G21" s="49">
        <f t="shared" si="2"/>
        <v>100000</v>
      </c>
      <c r="H21" s="53">
        <f t="shared" si="3"/>
        <v>90.19</v>
      </c>
      <c r="I21" s="54">
        <f t="shared" si="1"/>
        <v>0</v>
      </c>
      <c r="J21" s="21"/>
      <c r="L21" s="18"/>
    </row>
    <row r="22" spans="1:12" ht="15.75" x14ac:dyDescent="0.25">
      <c r="B22" s="29"/>
      <c r="C22" s="55"/>
      <c r="D22" s="56"/>
      <c r="E22" s="56"/>
      <c r="F22" s="29"/>
      <c r="G22" s="55"/>
      <c r="H22" s="29"/>
      <c r="I22" s="29"/>
      <c r="J22" s="29"/>
      <c r="K22" s="29"/>
    </row>
    <row r="23" spans="1:12" ht="15.75" x14ac:dyDescent="0.25">
      <c r="B23" s="29"/>
      <c r="C23" s="55"/>
      <c r="D23" s="56"/>
      <c r="E23" s="56"/>
      <c r="F23" s="29"/>
      <c r="G23" s="55"/>
      <c r="H23" s="29"/>
      <c r="I23" s="29"/>
      <c r="J23" s="29"/>
      <c r="K23" s="29"/>
    </row>
    <row r="24" spans="1:12" ht="15.75" x14ac:dyDescent="0.25">
      <c r="B24" s="29"/>
      <c r="C24" s="55"/>
      <c r="D24" s="56"/>
      <c r="E24" s="56"/>
      <c r="F24" s="29"/>
      <c r="G24" s="55"/>
      <c r="H24" s="29"/>
      <c r="I24" s="29"/>
      <c r="J24" s="29"/>
      <c r="K24" s="29"/>
    </row>
    <row r="25" spans="1:12" ht="15.75" x14ac:dyDescent="0.25">
      <c r="B25" s="29"/>
      <c r="C25" s="55"/>
      <c r="D25" s="56"/>
      <c r="E25" s="56"/>
      <c r="F25" s="29"/>
      <c r="G25" s="55"/>
      <c r="H25" s="29"/>
      <c r="I25" s="29"/>
      <c r="J25" s="29"/>
      <c r="K25" s="29"/>
    </row>
    <row r="26" spans="1:12" ht="15.75" x14ac:dyDescent="0.25">
      <c r="B26" s="29"/>
      <c r="C26" s="55"/>
      <c r="D26" s="56"/>
      <c r="E26" s="56"/>
      <c r="F26" s="29"/>
      <c r="G26" s="55"/>
      <c r="H26" s="29"/>
      <c r="I26" s="29"/>
      <c r="J26" s="29"/>
      <c r="K26" s="29"/>
    </row>
    <row r="27" spans="1:12" ht="15.75" x14ac:dyDescent="0.25">
      <c r="B27" s="29"/>
      <c r="C27" s="55"/>
      <c r="D27" s="56"/>
      <c r="E27" s="56"/>
      <c r="F27" s="29"/>
      <c r="G27" s="55"/>
      <c r="H27" s="29"/>
      <c r="I27" s="29"/>
      <c r="J27" s="29"/>
      <c r="K27" s="29"/>
    </row>
    <row r="28" spans="1:12" ht="15.75" x14ac:dyDescent="0.25">
      <c r="B28" s="29"/>
      <c r="C28" s="55"/>
      <c r="D28" s="56"/>
      <c r="E28" s="56"/>
      <c r="F28" s="29"/>
      <c r="G28" s="55"/>
      <c r="H28" s="29"/>
      <c r="I28" s="29"/>
      <c r="J28" s="29"/>
      <c r="K28" s="29"/>
    </row>
    <row r="29" spans="1:12" ht="15.75" x14ac:dyDescent="0.25">
      <c r="B29" s="57"/>
      <c r="C29" s="55"/>
      <c r="D29" s="58"/>
      <c r="E29" s="58"/>
      <c r="F29" s="29"/>
      <c r="G29" s="55"/>
      <c r="H29" s="29"/>
      <c r="I29" s="29"/>
      <c r="J29" s="29"/>
      <c r="K29" s="29"/>
    </row>
    <row r="30" spans="1:12" ht="15.75" x14ac:dyDescent="0.25">
      <c r="B30" s="57"/>
      <c r="C30" s="55"/>
      <c r="D30" s="58"/>
      <c r="E30" s="58"/>
      <c r="F30" s="29"/>
      <c r="G30" s="55"/>
      <c r="H30" s="29"/>
      <c r="I30" s="29"/>
      <c r="J30" s="29"/>
      <c r="K30" s="36" t="s">
        <v>40</v>
      </c>
      <c r="L30" s="37" t="e">
        <f>EXP(INDEX(LINEST(LN(E33:E37),LN(I33:I37)),1,2))</f>
        <v>#VALUE!</v>
      </c>
    </row>
    <row r="31" spans="1:12" ht="21" x14ac:dyDescent="0.35">
      <c r="B31" s="39" t="s">
        <v>31</v>
      </c>
      <c r="C31" s="59"/>
      <c r="D31" s="58"/>
      <c r="E31" s="58"/>
      <c r="F31" s="57"/>
      <c r="G31" s="88"/>
      <c r="H31" s="57"/>
      <c r="I31" s="57"/>
      <c r="J31" s="60"/>
      <c r="K31" s="36" t="s">
        <v>41</v>
      </c>
      <c r="L31" s="37" t="e">
        <f>INDEX(LINEST(LN(E33:E37),LN(I33:I37),,),1)</f>
        <v>#VALUE!</v>
      </c>
    </row>
    <row r="32" spans="1:12" s="23" customFormat="1" ht="15.75" x14ac:dyDescent="0.25">
      <c r="A32" s="61"/>
      <c r="B32" s="42" t="s">
        <v>42</v>
      </c>
      <c r="C32" s="43" t="s">
        <v>43</v>
      </c>
      <c r="D32" s="45" t="s">
        <v>44</v>
      </c>
      <c r="E32" s="45" t="s">
        <v>45</v>
      </c>
      <c r="F32" s="44" t="s">
        <v>46</v>
      </c>
      <c r="G32" s="44" t="s">
        <v>47</v>
      </c>
      <c r="H32" s="46" t="s">
        <v>48</v>
      </c>
      <c r="I32" s="47" t="s">
        <v>49</v>
      </c>
      <c r="J32" s="48"/>
    </row>
    <row r="33" spans="2:12" ht="15.75" x14ac:dyDescent="0.25">
      <c r="B33" s="49">
        <v>1</v>
      </c>
      <c r="C33" s="50">
        <v>24.04</v>
      </c>
      <c r="D33" s="87" t="s">
        <v>93</v>
      </c>
      <c r="E33" s="51" t="e">
        <f t="shared" ref="E33:E39" si="5">(D33*H33)/(C33*1000)</f>
        <v>#VALUE!</v>
      </c>
      <c r="F33" s="89" t="e">
        <f>#REF!</f>
        <v>#REF!</v>
      </c>
      <c r="G33" s="49">
        <f t="shared" ref="G33:G39" si="6">$G$15</f>
        <v>100000</v>
      </c>
      <c r="H33" s="53">
        <v>94.2</v>
      </c>
      <c r="I33" s="54" t="e">
        <f t="shared" ref="I33:I39" si="7">F33/G33</f>
        <v>#REF!</v>
      </c>
      <c r="J33" s="21"/>
      <c r="L33" s="18"/>
    </row>
    <row r="34" spans="2:12" ht="15.75" x14ac:dyDescent="0.25">
      <c r="B34" s="49">
        <v>2</v>
      </c>
      <c r="C34" s="50">
        <f>$C$33</f>
        <v>24.04</v>
      </c>
      <c r="D34" s="87" t="s">
        <v>93</v>
      </c>
      <c r="E34" s="51" t="e">
        <f t="shared" si="5"/>
        <v>#VALUE!</v>
      </c>
      <c r="F34" s="89" t="e">
        <f>#REF!</f>
        <v>#REF!</v>
      </c>
      <c r="G34" s="49">
        <f t="shared" si="6"/>
        <v>100000</v>
      </c>
      <c r="H34" s="53">
        <f t="shared" ref="H34:H39" si="8">$H$33</f>
        <v>94.2</v>
      </c>
      <c r="I34" s="54" t="e">
        <f t="shared" si="7"/>
        <v>#REF!</v>
      </c>
      <c r="J34" s="21"/>
      <c r="L34" s="18"/>
    </row>
    <row r="35" spans="2:12" ht="15.75" x14ac:dyDescent="0.25">
      <c r="B35" s="49">
        <v>3</v>
      </c>
      <c r="C35" s="50">
        <f t="shared" ref="C35:C39" si="9">$C$33</f>
        <v>24.04</v>
      </c>
      <c r="D35" s="87" t="s">
        <v>93</v>
      </c>
      <c r="E35" s="51" t="e">
        <f t="shared" si="5"/>
        <v>#VALUE!</v>
      </c>
      <c r="F35" s="89" t="e">
        <f>#REF!</f>
        <v>#REF!</v>
      </c>
      <c r="G35" s="49">
        <f t="shared" si="6"/>
        <v>100000</v>
      </c>
      <c r="H35" s="53">
        <f t="shared" si="8"/>
        <v>94.2</v>
      </c>
      <c r="I35" s="54" t="e">
        <f t="shared" si="7"/>
        <v>#REF!</v>
      </c>
      <c r="J35" s="63"/>
      <c r="L35" s="18"/>
    </row>
    <row r="36" spans="2:12" ht="15.75" x14ac:dyDescent="0.25">
      <c r="B36" s="49">
        <v>4</v>
      </c>
      <c r="C36" s="50">
        <f t="shared" si="9"/>
        <v>24.04</v>
      </c>
      <c r="D36" s="87" t="s">
        <v>93</v>
      </c>
      <c r="E36" s="51" t="e">
        <f t="shared" si="5"/>
        <v>#VALUE!</v>
      </c>
      <c r="F36" s="89" t="e">
        <f>#REF!</f>
        <v>#REF!</v>
      </c>
      <c r="G36" s="49">
        <f t="shared" si="6"/>
        <v>100000</v>
      </c>
      <c r="H36" s="53">
        <f t="shared" si="8"/>
        <v>94.2</v>
      </c>
      <c r="I36" s="54" t="e">
        <f t="shared" si="7"/>
        <v>#REF!</v>
      </c>
      <c r="J36" s="21"/>
      <c r="L36" s="18"/>
    </row>
    <row r="37" spans="2:12" ht="15.75" x14ac:dyDescent="0.25">
      <c r="B37" s="49">
        <v>6</v>
      </c>
      <c r="C37" s="50">
        <f t="shared" si="9"/>
        <v>24.04</v>
      </c>
      <c r="D37" s="87" t="s">
        <v>93</v>
      </c>
      <c r="E37" s="51" t="e">
        <f t="shared" si="5"/>
        <v>#VALUE!</v>
      </c>
      <c r="F37" s="89" t="e">
        <f>#REF!</f>
        <v>#REF!</v>
      </c>
      <c r="G37" s="49">
        <f t="shared" si="6"/>
        <v>100000</v>
      </c>
      <c r="H37" s="53">
        <f t="shared" si="8"/>
        <v>94.2</v>
      </c>
      <c r="I37" s="54" t="e">
        <f t="shared" si="7"/>
        <v>#REF!</v>
      </c>
      <c r="J37" s="21"/>
      <c r="L37" s="18"/>
    </row>
    <row r="38" spans="2:12" ht="15.75" x14ac:dyDescent="0.25">
      <c r="B38" s="49"/>
      <c r="C38" s="50">
        <f t="shared" si="9"/>
        <v>24.04</v>
      </c>
      <c r="D38" s="87"/>
      <c r="E38" s="51">
        <f t="shared" si="5"/>
        <v>0</v>
      </c>
      <c r="F38" s="89"/>
      <c r="G38" s="49">
        <f t="shared" si="6"/>
        <v>100000</v>
      </c>
      <c r="H38" s="53">
        <f t="shared" si="8"/>
        <v>94.2</v>
      </c>
      <c r="I38" s="54">
        <f t="shared" si="7"/>
        <v>0</v>
      </c>
      <c r="J38" s="21"/>
      <c r="L38" s="18"/>
    </row>
    <row r="39" spans="2:12" ht="15.75" x14ac:dyDescent="0.25">
      <c r="B39" s="49"/>
      <c r="C39" s="50">
        <f t="shared" si="9"/>
        <v>24.04</v>
      </c>
      <c r="D39" s="87"/>
      <c r="E39" s="51">
        <f t="shared" si="5"/>
        <v>0</v>
      </c>
      <c r="F39" s="89"/>
      <c r="G39" s="49">
        <f t="shared" si="6"/>
        <v>100000</v>
      </c>
      <c r="H39" s="53">
        <f t="shared" si="8"/>
        <v>94.2</v>
      </c>
      <c r="I39" s="54">
        <f t="shared" si="7"/>
        <v>0</v>
      </c>
      <c r="J39" s="21"/>
      <c r="L39" s="18"/>
    </row>
    <row r="40" spans="2:12" ht="15.75" x14ac:dyDescent="0.25">
      <c r="B40" s="64"/>
      <c r="C40" s="55"/>
      <c r="D40" s="56"/>
      <c r="E40" s="56"/>
      <c r="F40" s="29"/>
      <c r="G40" s="55"/>
      <c r="H40" s="29"/>
      <c r="I40" s="29"/>
      <c r="J40" s="29"/>
      <c r="K40" s="29"/>
    </row>
    <row r="41" spans="2:12" ht="15.75" x14ac:dyDescent="0.25">
      <c r="B41" s="57"/>
      <c r="C41" s="55"/>
      <c r="D41" s="58"/>
      <c r="E41" s="58"/>
      <c r="F41" s="29"/>
      <c r="G41" s="55"/>
      <c r="H41" s="29"/>
      <c r="I41" s="29"/>
      <c r="J41" s="29"/>
      <c r="K41" s="29"/>
    </row>
    <row r="42" spans="2:12" ht="15.75" x14ac:dyDescent="0.25">
      <c r="B42" s="57"/>
      <c r="C42" s="55"/>
      <c r="D42" s="58"/>
      <c r="E42" s="58"/>
      <c r="F42" s="29"/>
      <c r="G42" s="55"/>
      <c r="H42" s="29"/>
      <c r="I42" s="29"/>
      <c r="J42" s="29"/>
      <c r="K42" s="29"/>
    </row>
    <row r="43" spans="2:12" ht="15.75" x14ac:dyDescent="0.25">
      <c r="B43" s="57"/>
      <c r="C43" s="55"/>
      <c r="D43" s="58"/>
      <c r="E43" s="58"/>
      <c r="F43" s="29"/>
      <c r="G43" s="55"/>
      <c r="H43" s="29"/>
      <c r="I43" s="29"/>
      <c r="J43" s="29"/>
      <c r="K43" s="29"/>
    </row>
    <row r="44" spans="2:12" ht="15.75" x14ac:dyDescent="0.25">
      <c r="B44" s="57"/>
      <c r="C44" s="55"/>
      <c r="D44" s="58"/>
      <c r="E44" s="58"/>
      <c r="F44" s="29"/>
      <c r="G44" s="55"/>
      <c r="H44" s="29"/>
      <c r="I44" s="29"/>
      <c r="J44" s="29"/>
      <c r="K44" s="29"/>
    </row>
    <row r="45" spans="2:12" ht="15.75" x14ac:dyDescent="0.25">
      <c r="B45" s="57"/>
      <c r="C45" s="55"/>
      <c r="D45" s="58"/>
      <c r="E45" s="58"/>
      <c r="F45" s="29"/>
      <c r="G45" s="55"/>
      <c r="H45" s="29"/>
      <c r="I45" s="29"/>
      <c r="J45" s="29"/>
      <c r="K45" s="36" t="s">
        <v>40</v>
      </c>
      <c r="L45" s="37">
        <f>EXP(INDEX(LINEST(LN(E49:E52),LN(I49:I52)),1,2))</f>
        <v>0.11594740109726634</v>
      </c>
    </row>
    <row r="46" spans="2:12" ht="21" x14ac:dyDescent="0.35">
      <c r="B46" s="39" t="s">
        <v>64</v>
      </c>
      <c r="C46" s="59"/>
      <c r="D46" s="58"/>
      <c r="E46" s="58"/>
      <c r="F46" s="57"/>
      <c r="G46" s="88"/>
      <c r="H46" s="57"/>
      <c r="I46" s="57"/>
      <c r="J46" s="60"/>
      <c r="K46" s="36" t="s">
        <v>41</v>
      </c>
      <c r="L46" s="37">
        <f>INDEX(LINEST(LN(E49:E52),LN(I49:I52),,),1)</f>
        <v>0.65022153849897568</v>
      </c>
    </row>
    <row r="47" spans="2:12" ht="15.75" x14ac:dyDescent="0.25">
      <c r="B47" s="42" t="s">
        <v>42</v>
      </c>
      <c r="C47" s="43" t="s">
        <v>43</v>
      </c>
      <c r="D47" s="45" t="s">
        <v>44</v>
      </c>
      <c r="E47" s="45" t="s">
        <v>45</v>
      </c>
      <c r="F47" s="44" t="s">
        <v>46</v>
      </c>
      <c r="G47" s="44" t="s">
        <v>47</v>
      </c>
      <c r="H47" s="46" t="s">
        <v>48</v>
      </c>
      <c r="I47" s="47" t="s">
        <v>49</v>
      </c>
      <c r="J47" s="48"/>
      <c r="L47" s="18"/>
    </row>
    <row r="48" spans="2:12" ht="15.75" x14ac:dyDescent="0.25">
      <c r="B48" s="49">
        <v>1</v>
      </c>
      <c r="C48" s="50">
        <v>24.04</v>
      </c>
      <c r="D48" s="87">
        <v>190.38</v>
      </c>
      <c r="E48" s="51">
        <f t="shared" ref="E48:E54" si="10">(D48*H48)/(C48*1000)</f>
        <v>0.26988978369384359</v>
      </c>
      <c r="F48" s="89">
        <f>Results_ChS_H2S_Ineris!D9</f>
        <v>433973.81666666665</v>
      </c>
      <c r="G48" s="49">
        <f t="shared" ref="G48:G54" si="11">$G$15</f>
        <v>100000</v>
      </c>
      <c r="H48" s="53">
        <v>34.08</v>
      </c>
      <c r="I48" s="54">
        <f t="shared" ref="I48:I54" si="12">F48/G48</f>
        <v>4.3397381666666668</v>
      </c>
      <c r="J48" s="21"/>
      <c r="L48" s="18"/>
    </row>
    <row r="49" spans="2:12" ht="15.75" x14ac:dyDescent="0.25">
      <c r="B49" s="49">
        <v>2</v>
      </c>
      <c r="C49" s="50">
        <f>$C$33</f>
        <v>24.04</v>
      </c>
      <c r="D49" s="87">
        <v>152.66</v>
      </c>
      <c r="E49" s="51">
        <f>(D49*H49)/(C49*1000)</f>
        <v>0.21641650582362729</v>
      </c>
      <c r="F49" s="89">
        <f>Results_ChS_H2S_Ineris!D20</f>
        <v>315524.51428571431</v>
      </c>
      <c r="G49" s="49">
        <f t="shared" si="11"/>
        <v>100000</v>
      </c>
      <c r="H49" s="53">
        <f t="shared" ref="H49:H54" si="13">$H$48</f>
        <v>34.08</v>
      </c>
      <c r="I49" s="54">
        <f t="shared" si="12"/>
        <v>3.1552451428571429</v>
      </c>
      <c r="J49" s="21"/>
      <c r="L49" s="18"/>
    </row>
    <row r="50" spans="2:12" ht="15.75" x14ac:dyDescent="0.25">
      <c r="B50" s="49">
        <v>3</v>
      </c>
      <c r="C50" s="50">
        <f t="shared" ref="C50:C54" si="14">$C$33</f>
        <v>24.04</v>
      </c>
      <c r="D50" s="87">
        <v>96.01</v>
      </c>
      <c r="E50" s="51">
        <f t="shared" si="10"/>
        <v>0.13610735440931782</v>
      </c>
      <c r="F50" s="89">
        <f>Results_ChS_H2S_Ineris!D30</f>
        <v>99318.516666666663</v>
      </c>
      <c r="G50" s="49">
        <f t="shared" si="11"/>
        <v>100000</v>
      </c>
      <c r="H50" s="53">
        <f t="shared" si="13"/>
        <v>34.08</v>
      </c>
      <c r="I50" s="54">
        <f t="shared" si="12"/>
        <v>0.99318516666666667</v>
      </c>
      <c r="J50" s="63"/>
      <c r="L50" s="18"/>
    </row>
    <row r="51" spans="2:12" ht="15.75" x14ac:dyDescent="0.25">
      <c r="B51" s="49">
        <v>4</v>
      </c>
      <c r="C51" s="50">
        <f t="shared" si="14"/>
        <v>24.04</v>
      </c>
      <c r="D51" s="87">
        <v>48.69</v>
      </c>
      <c r="E51" s="51">
        <f t="shared" si="10"/>
        <v>6.9024758735440922E-2</v>
      </c>
      <c r="F51" s="89">
        <f>Results_ChS_H2S_Ineris!D38</f>
        <v>35736.5</v>
      </c>
      <c r="G51" s="49">
        <f t="shared" si="11"/>
        <v>100000</v>
      </c>
      <c r="H51" s="53">
        <f t="shared" si="13"/>
        <v>34.08</v>
      </c>
      <c r="I51" s="54">
        <f t="shared" si="12"/>
        <v>0.35736499999999999</v>
      </c>
      <c r="J51" s="21"/>
      <c r="L51" s="18"/>
    </row>
    <row r="52" spans="2:12" ht="15.75" x14ac:dyDescent="0.25">
      <c r="B52" s="49">
        <v>5</v>
      </c>
      <c r="C52" s="50">
        <f t="shared" si="14"/>
        <v>24.04</v>
      </c>
      <c r="D52" s="87">
        <v>24.67</v>
      </c>
      <c r="E52" s="51">
        <f t="shared" si="10"/>
        <v>3.4973111480865224E-2</v>
      </c>
      <c r="F52" s="89">
        <f>Results_ChS_H2S_Ineris!D47</f>
        <v>21269.416666666668</v>
      </c>
      <c r="G52" s="49">
        <f t="shared" si="11"/>
        <v>100000</v>
      </c>
      <c r="H52" s="53">
        <f t="shared" si="13"/>
        <v>34.08</v>
      </c>
      <c r="I52" s="54">
        <f t="shared" si="12"/>
        <v>0.21269416666666668</v>
      </c>
      <c r="J52" s="21"/>
      <c r="L52" s="18"/>
    </row>
    <row r="53" spans="2:12" ht="15.75" x14ac:dyDescent="0.25">
      <c r="B53" s="49">
        <v>6</v>
      </c>
      <c r="C53" s="50">
        <f t="shared" si="14"/>
        <v>24.04</v>
      </c>
      <c r="D53" s="87"/>
      <c r="E53" s="51">
        <f t="shared" si="10"/>
        <v>0</v>
      </c>
      <c r="F53" s="89"/>
      <c r="G53" s="49">
        <f t="shared" si="11"/>
        <v>100000</v>
      </c>
      <c r="H53" s="53">
        <f t="shared" si="13"/>
        <v>34.08</v>
      </c>
      <c r="I53" s="54">
        <f t="shared" si="12"/>
        <v>0</v>
      </c>
      <c r="J53" s="21"/>
      <c r="L53" s="18"/>
    </row>
    <row r="54" spans="2:12" ht="15.75" x14ac:dyDescent="0.25">
      <c r="B54" s="49"/>
      <c r="C54" s="50">
        <f t="shared" si="14"/>
        <v>24.04</v>
      </c>
      <c r="D54" s="87"/>
      <c r="E54" s="51">
        <f t="shared" si="10"/>
        <v>0</v>
      </c>
      <c r="F54" s="89"/>
      <c r="G54" s="49">
        <f t="shared" si="11"/>
        <v>100000</v>
      </c>
      <c r="H54" s="53">
        <f t="shared" si="13"/>
        <v>34.08</v>
      </c>
      <c r="I54" s="54">
        <f t="shared" si="12"/>
        <v>0</v>
      </c>
      <c r="J54" s="21"/>
      <c r="L54" s="18"/>
    </row>
    <row r="55" spans="2:12" ht="15.75" x14ac:dyDescent="0.25">
      <c r="B55" s="57"/>
      <c r="C55" s="55"/>
      <c r="D55" s="58"/>
      <c r="E55" s="58"/>
      <c r="F55" s="29"/>
      <c r="G55" s="55"/>
      <c r="H55" s="29"/>
      <c r="I55" s="29"/>
      <c r="J55" s="29"/>
      <c r="K55" s="29"/>
    </row>
    <row r="56" spans="2:12" ht="15.75" x14ac:dyDescent="0.25">
      <c r="B56" s="57"/>
      <c r="C56" s="55"/>
      <c r="D56" s="58"/>
      <c r="E56" s="58"/>
      <c r="F56" s="29"/>
      <c r="G56" s="55"/>
      <c r="H56" s="29"/>
      <c r="I56" s="29"/>
      <c r="J56" s="29"/>
      <c r="K56" s="29"/>
    </row>
    <row r="57" spans="2:12" ht="15.75" x14ac:dyDescent="0.25">
      <c r="B57" s="57"/>
      <c r="C57" s="55"/>
      <c r="D57" s="58"/>
      <c r="E57" s="58"/>
      <c r="F57" s="29"/>
      <c r="G57" s="55"/>
      <c r="H57" s="29"/>
      <c r="I57" s="29"/>
      <c r="J57" s="29"/>
      <c r="K57" s="29"/>
    </row>
    <row r="58" spans="2:12" ht="15.75" x14ac:dyDescent="0.25">
      <c r="B58" s="57"/>
      <c r="C58" s="55"/>
      <c r="D58" s="58"/>
      <c r="E58" s="58"/>
      <c r="F58" s="29"/>
      <c r="G58" s="55"/>
      <c r="H58" s="29"/>
      <c r="I58" s="29"/>
      <c r="J58" s="29"/>
      <c r="K58" s="29"/>
    </row>
    <row r="59" spans="2:12" ht="15.75" x14ac:dyDescent="0.25">
      <c r="B59" s="57"/>
      <c r="C59" s="55"/>
      <c r="D59" s="58"/>
      <c r="E59" s="58"/>
      <c r="F59" s="29"/>
      <c r="G59" s="55"/>
      <c r="H59" s="29"/>
      <c r="I59" s="29"/>
      <c r="J59" s="29"/>
      <c r="K59" s="29"/>
    </row>
    <row r="60" spans="2:12" ht="15.75" x14ac:dyDescent="0.25">
      <c r="B60" s="57"/>
      <c r="C60" s="55"/>
      <c r="D60" s="58"/>
      <c r="E60" s="58"/>
      <c r="F60" s="29"/>
      <c r="G60" s="55"/>
      <c r="H60" s="29"/>
      <c r="I60" s="29"/>
      <c r="J60" s="29"/>
      <c r="K60" s="36" t="s">
        <v>40</v>
      </c>
      <c r="L60" s="37">
        <f>EXP(INDEX(LINEST(LN(E63:E67),LN(I63:I67)),1,2))</f>
        <v>0.10628291624221234</v>
      </c>
    </row>
    <row r="61" spans="2:12" ht="21" x14ac:dyDescent="0.35">
      <c r="B61" s="39" t="s">
        <v>65</v>
      </c>
      <c r="C61" s="59"/>
      <c r="D61" s="58"/>
      <c r="E61" s="58"/>
      <c r="F61" s="57"/>
      <c r="G61" s="88"/>
      <c r="H61" s="57"/>
      <c r="I61" s="57"/>
      <c r="J61" s="60"/>
      <c r="K61" s="36" t="s">
        <v>41</v>
      </c>
      <c r="L61" s="37">
        <f>INDEX(LINEST(LN(E63:E67),LN(I63:I67),,),1)</f>
        <v>0.73361033027571787</v>
      </c>
    </row>
    <row r="62" spans="2:12" ht="15.75" x14ac:dyDescent="0.25">
      <c r="B62" s="42" t="s">
        <v>42</v>
      </c>
      <c r="C62" s="43" t="s">
        <v>43</v>
      </c>
      <c r="D62" s="45" t="s">
        <v>44</v>
      </c>
      <c r="E62" s="45" t="s">
        <v>45</v>
      </c>
      <c r="F62" s="44" t="s">
        <v>46</v>
      </c>
      <c r="G62" s="44" t="s">
        <v>47</v>
      </c>
      <c r="H62" s="46" t="s">
        <v>48</v>
      </c>
      <c r="I62" s="47" t="s">
        <v>49</v>
      </c>
      <c r="J62" s="48"/>
      <c r="L62" s="18"/>
    </row>
    <row r="63" spans="2:12" ht="15.75" x14ac:dyDescent="0.25">
      <c r="B63" s="49">
        <v>1</v>
      </c>
      <c r="C63" s="50">
        <v>24.04</v>
      </c>
      <c r="D63" s="87">
        <v>66.38</v>
      </c>
      <c r="E63" s="51">
        <f t="shared" ref="E63:E69" si="15">(D63*H63)/(C63*1000)</f>
        <v>0.16586716306156404</v>
      </c>
      <c r="F63" s="89">
        <f>Results_ChS_COS_Ineris!D7</f>
        <v>172970.33333333334</v>
      </c>
      <c r="G63" s="49">
        <f t="shared" ref="G63:G69" si="16">$G$15</f>
        <v>100000</v>
      </c>
      <c r="H63" s="53">
        <v>60.07</v>
      </c>
      <c r="I63" s="54">
        <f t="shared" ref="I63:I69" si="17">F63/G63</f>
        <v>1.7297033333333334</v>
      </c>
      <c r="J63" s="21"/>
      <c r="L63" s="18"/>
    </row>
    <row r="64" spans="2:12" ht="15.75" x14ac:dyDescent="0.25">
      <c r="B64" s="49">
        <v>2</v>
      </c>
      <c r="C64" s="50">
        <f>$C$33</f>
        <v>24.04</v>
      </c>
      <c r="D64" s="87">
        <v>86.12</v>
      </c>
      <c r="E64" s="51">
        <f t="shared" si="15"/>
        <v>0.21519252911813644</v>
      </c>
      <c r="F64" s="89">
        <f>Results_ChS_COS_Ineris!D16</f>
        <v>274434.8</v>
      </c>
      <c r="G64" s="49">
        <f t="shared" si="16"/>
        <v>100000</v>
      </c>
      <c r="H64" s="53">
        <f>$H$63</f>
        <v>60.07</v>
      </c>
      <c r="I64" s="54">
        <f t="shared" si="17"/>
        <v>2.744348</v>
      </c>
      <c r="J64" s="21"/>
      <c r="L64" s="37"/>
    </row>
    <row r="65" spans="2:12" ht="15.75" x14ac:dyDescent="0.25">
      <c r="B65" s="49">
        <v>3</v>
      </c>
      <c r="C65" s="50">
        <f t="shared" ref="C65:C69" si="18">$C$33</f>
        <v>24.04</v>
      </c>
      <c r="D65" s="87">
        <v>99.95</v>
      </c>
      <c r="E65" s="51">
        <f t="shared" si="15"/>
        <v>0.24975027038269551</v>
      </c>
      <c r="F65" s="89">
        <f>Results_ChS_COS_Ineris!D23</f>
        <v>350093.76666666666</v>
      </c>
      <c r="G65" s="49">
        <f t="shared" si="16"/>
        <v>100000</v>
      </c>
      <c r="H65" s="53">
        <f t="shared" ref="H65:H69" si="19">$H$63</f>
        <v>60.07</v>
      </c>
      <c r="I65" s="54">
        <f t="shared" si="17"/>
        <v>3.5009376666666667</v>
      </c>
      <c r="J65" s="63"/>
      <c r="L65" s="37"/>
    </row>
    <row r="66" spans="2:12" ht="15.75" x14ac:dyDescent="0.25">
      <c r="B66" s="49">
        <v>4</v>
      </c>
      <c r="C66" s="50">
        <f t="shared" si="18"/>
        <v>24.04</v>
      </c>
      <c r="D66" s="87">
        <v>115.74</v>
      </c>
      <c r="E66" s="51">
        <f t="shared" si="15"/>
        <v>0.28920556572379369</v>
      </c>
      <c r="F66" s="89">
        <f>Results_ChS_COS_Ineris!D31</f>
        <v>406362.02500000002</v>
      </c>
      <c r="G66" s="49">
        <f t="shared" si="16"/>
        <v>100000</v>
      </c>
      <c r="H66" s="53">
        <f t="shared" si="19"/>
        <v>60.07</v>
      </c>
      <c r="I66" s="54">
        <f t="shared" si="17"/>
        <v>4.0636202500000005</v>
      </c>
      <c r="J66" s="21"/>
      <c r="L66" s="18"/>
    </row>
    <row r="67" spans="2:12" ht="15.75" x14ac:dyDescent="0.25">
      <c r="B67" s="49">
        <v>5</v>
      </c>
      <c r="C67" s="50">
        <f t="shared" si="18"/>
        <v>24.04</v>
      </c>
      <c r="D67" s="87">
        <v>145.35</v>
      </c>
      <c r="E67" s="51">
        <f t="shared" si="15"/>
        <v>0.3631936148086522</v>
      </c>
      <c r="F67" s="89">
        <f>Results_ChS_COS_Ineris!D40</f>
        <v>475813.98</v>
      </c>
      <c r="G67" s="49">
        <f t="shared" si="16"/>
        <v>100000</v>
      </c>
      <c r="H67" s="53">
        <f t="shared" si="19"/>
        <v>60.07</v>
      </c>
      <c r="I67" s="54">
        <f t="shared" si="17"/>
        <v>4.7581397999999995</v>
      </c>
      <c r="J67" s="21"/>
      <c r="L67" s="18"/>
    </row>
    <row r="68" spans="2:12" ht="15.75" x14ac:dyDescent="0.25">
      <c r="B68" s="49">
        <v>6</v>
      </c>
      <c r="C68" s="50">
        <f t="shared" si="18"/>
        <v>24.04</v>
      </c>
      <c r="D68" s="87"/>
      <c r="E68" s="51">
        <f t="shared" si="15"/>
        <v>0</v>
      </c>
      <c r="F68" s="89"/>
      <c r="G68" s="49">
        <f t="shared" si="16"/>
        <v>100000</v>
      </c>
      <c r="H68" s="53">
        <f t="shared" si="19"/>
        <v>60.07</v>
      </c>
      <c r="I68" s="54">
        <f t="shared" si="17"/>
        <v>0</v>
      </c>
      <c r="J68" s="21"/>
      <c r="L68" s="18"/>
    </row>
    <row r="69" spans="2:12" ht="15.75" x14ac:dyDescent="0.25">
      <c r="B69" s="49"/>
      <c r="C69" s="50">
        <f t="shared" si="18"/>
        <v>24.04</v>
      </c>
      <c r="D69" s="87"/>
      <c r="E69" s="51">
        <f t="shared" si="15"/>
        <v>0</v>
      </c>
      <c r="F69" s="89"/>
      <c r="G69" s="49">
        <f t="shared" si="16"/>
        <v>100000</v>
      </c>
      <c r="H69" s="53">
        <f t="shared" si="19"/>
        <v>60.07</v>
      </c>
      <c r="I69" s="54">
        <f t="shared" si="17"/>
        <v>0</v>
      </c>
      <c r="J69" s="21"/>
      <c r="L69" s="18"/>
    </row>
    <row r="70" spans="2:12" ht="15.75" x14ac:dyDescent="0.25">
      <c r="B70" s="57"/>
      <c r="C70" s="55"/>
      <c r="D70" s="58"/>
      <c r="E70" s="58"/>
      <c r="F70" s="29"/>
      <c r="G70" s="55"/>
      <c r="H70" s="29"/>
      <c r="I70" s="29"/>
      <c r="J70" s="29"/>
      <c r="K70" s="29"/>
    </row>
    <row r="71" spans="2:12" ht="15.75" x14ac:dyDescent="0.25">
      <c r="B71" s="57"/>
      <c r="C71" s="55"/>
      <c r="D71" s="58"/>
      <c r="E71" s="58"/>
      <c r="F71" s="29"/>
      <c r="G71" s="55"/>
      <c r="H71" s="29"/>
      <c r="I71" s="29"/>
      <c r="J71" s="29"/>
      <c r="K71" s="29"/>
    </row>
    <row r="72" spans="2:12" ht="15.75" x14ac:dyDescent="0.25">
      <c r="B72" s="57"/>
      <c r="C72" s="55"/>
      <c r="D72" s="58"/>
      <c r="E72" s="58"/>
      <c r="F72" s="29"/>
      <c r="G72" s="55"/>
      <c r="H72" s="29"/>
      <c r="I72" s="29"/>
      <c r="J72" s="29"/>
      <c r="K72" s="29"/>
    </row>
    <row r="73" spans="2:12" ht="15.75" x14ac:dyDescent="0.25">
      <c r="B73" s="57"/>
      <c r="C73" s="55"/>
      <c r="D73" s="58"/>
      <c r="E73" s="58"/>
      <c r="F73" s="29"/>
      <c r="G73" s="55"/>
      <c r="H73" s="29"/>
      <c r="I73" s="29"/>
      <c r="J73" s="29"/>
      <c r="K73" s="29"/>
    </row>
    <row r="74" spans="2:12" ht="15.75" x14ac:dyDescent="0.25">
      <c r="B74" s="57"/>
      <c r="C74" s="55"/>
      <c r="D74" s="58"/>
      <c r="E74" s="58"/>
      <c r="F74" s="29"/>
      <c r="G74" s="55"/>
      <c r="H74" s="29"/>
      <c r="I74" s="29"/>
      <c r="J74" s="29"/>
      <c r="K74" s="29"/>
    </row>
    <row r="75" spans="2:12" ht="15.75" x14ac:dyDescent="0.25">
      <c r="B75" s="57"/>
      <c r="C75" s="55"/>
      <c r="D75" s="58"/>
      <c r="E75" s="58"/>
      <c r="F75" s="29"/>
      <c r="G75" s="55"/>
      <c r="H75" s="29"/>
      <c r="I75" s="29"/>
      <c r="J75" s="29"/>
      <c r="K75" s="29"/>
    </row>
    <row r="76" spans="2:12" ht="15.75" x14ac:dyDescent="0.25">
      <c r="B76" s="57"/>
      <c r="C76" s="55"/>
      <c r="D76" s="58"/>
      <c r="E76" s="58"/>
      <c r="F76" s="29"/>
      <c r="G76" s="55"/>
      <c r="H76" s="29"/>
      <c r="I76" s="29"/>
      <c r="J76" s="29"/>
      <c r="K76" s="29"/>
    </row>
    <row r="77" spans="2:12" ht="15.75" x14ac:dyDescent="0.25">
      <c r="B77" s="57"/>
      <c r="C77" s="55"/>
      <c r="D77" s="58"/>
      <c r="E77" s="58"/>
      <c r="F77" s="29"/>
      <c r="G77" s="55"/>
      <c r="H77" s="29"/>
      <c r="I77" s="29"/>
      <c r="J77" s="29"/>
      <c r="K77" s="29"/>
    </row>
    <row r="78" spans="2:12" ht="15.75" x14ac:dyDescent="0.25">
      <c r="B78" s="57"/>
      <c r="C78" s="55"/>
      <c r="D78" s="58"/>
      <c r="E78" s="58"/>
      <c r="F78" s="29"/>
      <c r="G78" s="55"/>
      <c r="H78" s="29"/>
      <c r="I78" s="29"/>
      <c r="J78" s="29"/>
      <c r="K78" s="29"/>
    </row>
    <row r="79" spans="2:12" ht="15.75" x14ac:dyDescent="0.25">
      <c r="B79" s="57"/>
      <c r="C79" s="55"/>
      <c r="D79" s="58"/>
      <c r="E79" s="58"/>
      <c r="F79" s="29"/>
      <c r="G79" s="55"/>
      <c r="H79" s="29"/>
      <c r="I79" s="29"/>
      <c r="J79" s="29"/>
      <c r="K79" s="36" t="s">
        <v>40</v>
      </c>
      <c r="L79" s="37" t="e">
        <f>EXP(INDEX(LINEST(LN(E82:E86),LN(I82:I86)),1,2))</f>
        <v>#VALUE!</v>
      </c>
    </row>
    <row r="80" spans="2:12" ht="21" x14ac:dyDescent="0.35">
      <c r="B80" s="39" t="s">
        <v>26</v>
      </c>
      <c r="C80" s="59"/>
      <c r="D80" s="58"/>
      <c r="E80" s="58"/>
      <c r="F80" s="57"/>
      <c r="G80" s="88"/>
      <c r="H80" s="57"/>
      <c r="I80" s="57"/>
      <c r="J80" s="60"/>
      <c r="K80" s="36" t="s">
        <v>41</v>
      </c>
      <c r="L80" s="37" t="e">
        <f>INDEX(LINEST(LN(E82:E86),LN(I82:I86),,),1)</f>
        <v>#VALUE!</v>
      </c>
    </row>
    <row r="81" spans="2:12" ht="15.75" x14ac:dyDescent="0.25">
      <c r="B81" s="42" t="s">
        <v>42</v>
      </c>
      <c r="C81" s="43" t="s">
        <v>43</v>
      </c>
      <c r="D81" s="45" t="s">
        <v>44</v>
      </c>
      <c r="E81" s="45" t="s">
        <v>45</v>
      </c>
      <c r="F81" s="44" t="s">
        <v>46</v>
      </c>
      <c r="G81" s="44" t="s">
        <v>47</v>
      </c>
      <c r="H81" s="46" t="s">
        <v>48</v>
      </c>
      <c r="I81" s="47" t="s">
        <v>49</v>
      </c>
      <c r="J81" s="48"/>
      <c r="L81" s="18"/>
    </row>
    <row r="82" spans="2:12" ht="15.75" x14ac:dyDescent="0.25">
      <c r="B82" s="49">
        <v>1</v>
      </c>
      <c r="C82" s="50">
        <v>24.04</v>
      </c>
      <c r="D82" s="87"/>
      <c r="E82" s="51">
        <f t="shared" ref="E82:E88" si="20">(D82*H82)/(C82*1000)</f>
        <v>0</v>
      </c>
      <c r="F82" s="89" t="e">
        <f>#REF!</f>
        <v>#REF!</v>
      </c>
      <c r="G82" s="49">
        <f t="shared" ref="G82:G88" si="21">$G$15</f>
        <v>100000</v>
      </c>
      <c r="H82" s="53">
        <v>64.069999999999993</v>
      </c>
      <c r="I82" s="54" t="e">
        <f t="shared" ref="I82:I88" si="22">F82/G82</f>
        <v>#REF!</v>
      </c>
      <c r="J82" s="21"/>
      <c r="L82" s="18"/>
    </row>
    <row r="83" spans="2:12" ht="15.75" x14ac:dyDescent="0.25">
      <c r="B83" s="49">
        <v>2</v>
      </c>
      <c r="C83" s="50">
        <f>$C$33</f>
        <v>24.04</v>
      </c>
      <c r="D83" s="87"/>
      <c r="E83" s="51">
        <f t="shared" si="20"/>
        <v>0</v>
      </c>
      <c r="F83" s="89" t="e">
        <f>#REF!</f>
        <v>#REF!</v>
      </c>
      <c r="G83" s="49">
        <f t="shared" si="21"/>
        <v>100000</v>
      </c>
      <c r="H83" s="53">
        <f>$H$82</f>
        <v>64.069999999999993</v>
      </c>
      <c r="I83" s="54" t="e">
        <f t="shared" si="22"/>
        <v>#REF!</v>
      </c>
      <c r="J83" s="21"/>
      <c r="L83" s="18"/>
    </row>
    <row r="84" spans="2:12" ht="15.75" x14ac:dyDescent="0.25">
      <c r="B84" s="49">
        <v>3</v>
      </c>
      <c r="C84" s="50">
        <f t="shared" ref="C84:C88" si="23">$C$33</f>
        <v>24.04</v>
      </c>
      <c r="D84" s="87"/>
      <c r="E84" s="51">
        <f t="shared" si="20"/>
        <v>0</v>
      </c>
      <c r="F84" s="89" t="e">
        <f>#REF!</f>
        <v>#REF!</v>
      </c>
      <c r="G84" s="49">
        <f t="shared" si="21"/>
        <v>100000</v>
      </c>
      <c r="H84" s="53">
        <f t="shared" ref="H84:H88" si="24">$H$82</f>
        <v>64.069999999999993</v>
      </c>
      <c r="I84" s="54" t="e">
        <f t="shared" si="22"/>
        <v>#REF!</v>
      </c>
      <c r="J84" s="63"/>
      <c r="L84" s="18"/>
    </row>
    <row r="85" spans="2:12" ht="15.75" x14ac:dyDescent="0.25">
      <c r="B85" s="49">
        <v>4</v>
      </c>
      <c r="C85" s="50">
        <f t="shared" si="23"/>
        <v>24.04</v>
      </c>
      <c r="D85" s="87"/>
      <c r="E85" s="51">
        <f t="shared" si="20"/>
        <v>0</v>
      </c>
      <c r="F85" s="89" t="e">
        <f>#REF!</f>
        <v>#REF!</v>
      </c>
      <c r="G85" s="49">
        <f t="shared" si="21"/>
        <v>100000</v>
      </c>
      <c r="H85" s="53">
        <f t="shared" si="24"/>
        <v>64.069999999999993</v>
      </c>
      <c r="I85" s="54" t="e">
        <f t="shared" si="22"/>
        <v>#REF!</v>
      </c>
      <c r="J85" s="21"/>
      <c r="L85" s="18"/>
    </row>
    <row r="86" spans="2:12" ht="15.75" x14ac:dyDescent="0.25">
      <c r="B86" s="49">
        <v>5</v>
      </c>
      <c r="C86" s="50">
        <f t="shared" si="23"/>
        <v>24.04</v>
      </c>
      <c r="D86" s="87"/>
      <c r="E86" s="51">
        <f t="shared" si="20"/>
        <v>0</v>
      </c>
      <c r="F86" s="89" t="e">
        <f>#REF!</f>
        <v>#REF!</v>
      </c>
      <c r="G86" s="49">
        <f t="shared" si="21"/>
        <v>100000</v>
      </c>
      <c r="H86" s="53">
        <f t="shared" si="24"/>
        <v>64.069999999999993</v>
      </c>
      <c r="I86" s="54" t="e">
        <f t="shared" si="22"/>
        <v>#REF!</v>
      </c>
      <c r="J86" s="21"/>
      <c r="L86" s="18"/>
    </row>
    <row r="87" spans="2:12" ht="15.75" x14ac:dyDescent="0.25">
      <c r="B87" s="49">
        <v>6</v>
      </c>
      <c r="C87" s="50">
        <f t="shared" si="23"/>
        <v>24.04</v>
      </c>
      <c r="D87" s="87"/>
      <c r="E87" s="51">
        <f t="shared" si="20"/>
        <v>0</v>
      </c>
      <c r="F87" s="89"/>
      <c r="G87" s="49">
        <f t="shared" si="21"/>
        <v>100000</v>
      </c>
      <c r="H87" s="53">
        <f t="shared" si="24"/>
        <v>64.069999999999993</v>
      </c>
      <c r="I87" s="54">
        <f t="shared" si="22"/>
        <v>0</v>
      </c>
      <c r="J87" s="21"/>
      <c r="L87" s="18"/>
    </row>
    <row r="88" spans="2:12" ht="15.75" x14ac:dyDescent="0.25">
      <c r="B88" s="49"/>
      <c r="C88" s="50">
        <f t="shared" si="23"/>
        <v>24.04</v>
      </c>
      <c r="D88" s="87"/>
      <c r="E88" s="51">
        <f t="shared" si="20"/>
        <v>0</v>
      </c>
      <c r="F88" s="89"/>
      <c r="G88" s="49">
        <f t="shared" si="21"/>
        <v>100000</v>
      </c>
      <c r="H88" s="53">
        <f t="shared" si="24"/>
        <v>64.069999999999993</v>
      </c>
      <c r="I88" s="54">
        <f t="shared" si="22"/>
        <v>0</v>
      </c>
      <c r="J88" s="21"/>
      <c r="L88" s="18"/>
    </row>
    <row r="89" spans="2:12" ht="15.75" x14ac:dyDescent="0.25">
      <c r="B89" s="57"/>
      <c r="C89" s="55"/>
      <c r="D89" s="58"/>
      <c r="E89" s="58"/>
      <c r="F89" s="29"/>
      <c r="G89" s="55"/>
      <c r="H89" s="29"/>
      <c r="I89" s="29"/>
      <c r="J89" s="29"/>
      <c r="K89" s="29"/>
    </row>
    <row r="90" spans="2:12" ht="15.75" x14ac:dyDescent="0.25">
      <c r="B90" s="57"/>
      <c r="C90" s="55"/>
      <c r="D90" s="58"/>
      <c r="E90" s="58"/>
      <c r="F90" s="29"/>
      <c r="G90" s="55"/>
      <c r="H90" s="29"/>
      <c r="I90" s="29"/>
      <c r="J90" s="29"/>
      <c r="K90" s="29"/>
    </row>
    <row r="91" spans="2:12" ht="15.75" x14ac:dyDescent="0.25">
      <c r="B91" s="57"/>
      <c r="C91" s="55"/>
      <c r="D91" s="58"/>
      <c r="E91" s="58"/>
      <c r="F91" s="29"/>
      <c r="G91" s="55"/>
      <c r="H91" s="29"/>
      <c r="I91" s="29"/>
      <c r="J91" s="29"/>
      <c r="K91" s="29"/>
    </row>
    <row r="92" spans="2:12" ht="15.75" x14ac:dyDescent="0.25">
      <c r="B92" s="57"/>
      <c r="C92" s="55"/>
      <c r="D92" s="58"/>
      <c r="E92" s="58"/>
      <c r="F92" s="29"/>
      <c r="G92" s="55"/>
      <c r="H92" s="29"/>
      <c r="I92" s="29"/>
      <c r="J92" s="29"/>
      <c r="K92" s="29"/>
    </row>
    <row r="93" spans="2:12" ht="15.75" x14ac:dyDescent="0.25">
      <c r="B93" s="57"/>
      <c r="C93" s="55"/>
      <c r="D93" s="58"/>
      <c r="E93" s="58"/>
      <c r="F93" s="29"/>
      <c r="G93" s="55"/>
      <c r="H93" s="29"/>
      <c r="I93" s="29"/>
      <c r="J93" s="29"/>
      <c r="K93" s="29"/>
    </row>
    <row r="94" spans="2:12" ht="15.75" x14ac:dyDescent="0.25">
      <c r="B94" s="57"/>
      <c r="C94" s="55"/>
      <c r="D94" s="58"/>
      <c r="E94" s="58"/>
      <c r="F94" s="29"/>
      <c r="G94" s="55"/>
      <c r="H94" s="29"/>
      <c r="I94" s="29"/>
      <c r="J94" s="29"/>
      <c r="K94" s="29"/>
    </row>
    <row r="95" spans="2:12" ht="15.75" x14ac:dyDescent="0.25">
      <c r="B95" s="57"/>
      <c r="C95" s="55"/>
      <c r="D95" s="58"/>
      <c r="E95" s="58"/>
      <c r="F95" s="29"/>
      <c r="G95" s="55"/>
      <c r="H95" s="29"/>
      <c r="I95" s="29"/>
      <c r="J95" s="29"/>
      <c r="K95" s="29"/>
    </row>
    <row r="96" spans="2:12" ht="15.75" x14ac:dyDescent="0.25">
      <c r="B96" s="57"/>
      <c r="C96" s="55"/>
      <c r="D96" s="58"/>
      <c r="E96" s="58"/>
      <c r="F96" s="29"/>
      <c r="G96" s="55"/>
      <c r="H96" s="29"/>
      <c r="I96" s="29"/>
      <c r="J96" s="29"/>
      <c r="K96" s="29"/>
    </row>
    <row r="97" spans="2:12" ht="15.75" x14ac:dyDescent="0.25">
      <c r="B97" s="57"/>
      <c r="C97" s="55"/>
      <c r="D97" s="58"/>
      <c r="E97" s="58"/>
      <c r="F97" s="29"/>
      <c r="G97" s="55"/>
      <c r="H97" s="29"/>
      <c r="I97" s="29"/>
      <c r="J97" s="29"/>
      <c r="K97" s="29"/>
    </row>
    <row r="98" spans="2:12" ht="15.75" x14ac:dyDescent="0.25">
      <c r="B98" s="57"/>
      <c r="C98" s="55"/>
      <c r="D98" s="58"/>
      <c r="E98" s="58"/>
      <c r="F98" s="29"/>
      <c r="G98" s="55"/>
      <c r="H98" s="29"/>
      <c r="I98" s="29"/>
      <c r="J98" s="29"/>
      <c r="K98" s="29"/>
    </row>
    <row r="99" spans="2:12" ht="15.75" x14ac:dyDescent="0.25">
      <c r="B99" s="57"/>
      <c r="C99" s="55"/>
      <c r="D99" s="58"/>
      <c r="E99" s="58"/>
      <c r="F99" s="29"/>
      <c r="G99" s="55"/>
      <c r="H99" s="29"/>
      <c r="I99" s="29"/>
      <c r="J99" s="29"/>
      <c r="K99" s="29"/>
    </row>
    <row r="100" spans="2:12" ht="15.75" x14ac:dyDescent="0.25">
      <c r="B100" s="57"/>
      <c r="C100" s="55"/>
      <c r="D100" s="58"/>
      <c r="E100" s="58"/>
      <c r="F100" s="29"/>
      <c r="G100" s="55"/>
      <c r="H100" s="29"/>
      <c r="I100" s="29"/>
      <c r="J100" s="29"/>
      <c r="K100" s="29"/>
    </row>
    <row r="101" spans="2:12" ht="15.75" x14ac:dyDescent="0.25">
      <c r="B101" s="57"/>
      <c r="C101" s="55"/>
      <c r="D101" s="58"/>
      <c r="E101" s="58"/>
      <c r="F101" s="29"/>
      <c r="G101" s="55"/>
      <c r="H101" s="29"/>
      <c r="I101" s="29"/>
      <c r="J101" s="29"/>
      <c r="K101" s="29"/>
    </row>
    <row r="102" spans="2:12" ht="15.75" x14ac:dyDescent="0.25">
      <c r="B102" s="57"/>
      <c r="C102" s="55"/>
      <c r="D102" s="58"/>
      <c r="E102" s="58"/>
      <c r="F102" s="29"/>
      <c r="G102" s="55"/>
      <c r="H102" s="29"/>
      <c r="I102" s="29"/>
      <c r="J102" s="29"/>
      <c r="K102" s="36" t="s">
        <v>40</v>
      </c>
      <c r="L102" s="37">
        <f>EXP(INDEX(LINEST(LN(E106:E109),LN(I106:I109)),1,2))</f>
        <v>0.2837326906975523</v>
      </c>
    </row>
    <row r="103" spans="2:12" ht="21" x14ac:dyDescent="0.35">
      <c r="B103" s="39" t="s">
        <v>27</v>
      </c>
      <c r="C103" s="59"/>
      <c r="D103" s="58"/>
      <c r="E103" s="58"/>
      <c r="F103" s="57"/>
      <c r="G103" s="88"/>
      <c r="H103" s="57"/>
      <c r="I103" s="57"/>
      <c r="J103" s="60"/>
      <c r="K103" s="36" t="s">
        <v>41</v>
      </c>
      <c r="L103" s="37">
        <f>INDEX(LINEST(LN(E106:E109),LN(I106:I109),,),1)</f>
        <v>0.63045510047891562</v>
      </c>
    </row>
    <row r="104" spans="2:12" ht="15.75" x14ac:dyDescent="0.25">
      <c r="B104" s="42" t="s">
        <v>42</v>
      </c>
      <c r="C104" s="43" t="s">
        <v>43</v>
      </c>
      <c r="D104" s="45" t="s">
        <v>44</v>
      </c>
      <c r="E104" s="45" t="s">
        <v>45</v>
      </c>
      <c r="F104" s="44" t="s">
        <v>46</v>
      </c>
      <c r="G104" s="44" t="s">
        <v>47</v>
      </c>
      <c r="H104" s="46" t="s">
        <v>48</v>
      </c>
      <c r="I104" s="47" t="s">
        <v>49</v>
      </c>
      <c r="J104" s="21"/>
      <c r="L104" s="18"/>
    </row>
    <row r="105" spans="2:12" ht="15.75" x14ac:dyDescent="0.25">
      <c r="B105" s="49">
        <v>1</v>
      </c>
      <c r="C105" s="50">
        <v>24.04</v>
      </c>
      <c r="D105" s="87">
        <v>303.42</v>
      </c>
      <c r="E105" s="51">
        <f t="shared" ref="E105:E111" si="25">(D105*H105)/(C105*1000)</f>
        <v>0.6072186439267887</v>
      </c>
      <c r="F105" s="89" t="s">
        <v>94</v>
      </c>
      <c r="G105" s="49">
        <f t="shared" ref="G105:G111" si="26">$G$15</f>
        <v>100000</v>
      </c>
      <c r="H105" s="53">
        <v>48.11</v>
      </c>
      <c r="I105" s="54" t="e">
        <f t="shared" ref="I105:I111" si="27">F105/G105</f>
        <v>#VALUE!</v>
      </c>
      <c r="J105" s="21"/>
      <c r="L105" s="18"/>
    </row>
    <row r="106" spans="2:12" ht="15.75" x14ac:dyDescent="0.25">
      <c r="B106" s="49">
        <v>2</v>
      </c>
      <c r="C106" s="50">
        <f>$C$105</f>
        <v>24.04</v>
      </c>
      <c r="D106" s="87">
        <v>243.31</v>
      </c>
      <c r="E106" s="51">
        <f t="shared" si="25"/>
        <v>0.48692363144758732</v>
      </c>
      <c r="F106" s="89">
        <f>Results_ChS_H2S_Ineris!E20</f>
        <v>285415.12857142853</v>
      </c>
      <c r="G106" s="49">
        <f t="shared" si="26"/>
        <v>100000</v>
      </c>
      <c r="H106" s="53">
        <f t="shared" ref="H106:H111" si="28">$H$105</f>
        <v>48.11</v>
      </c>
      <c r="I106" s="54">
        <f>F106/G106</f>
        <v>2.8541512857142854</v>
      </c>
      <c r="J106" s="21"/>
      <c r="L106" s="18"/>
    </row>
    <row r="107" spans="2:12" ht="15.75" x14ac:dyDescent="0.25">
      <c r="B107" s="49">
        <v>3</v>
      </c>
      <c r="C107" s="50">
        <f t="shared" ref="C107:C111" si="29">$C$105</f>
        <v>24.04</v>
      </c>
      <c r="D107" s="87">
        <v>153.01</v>
      </c>
      <c r="E107" s="51">
        <f t="shared" si="25"/>
        <v>0.30621094425956741</v>
      </c>
      <c r="F107" s="89">
        <f>Results_ChS_H2S_Ineris!E30</f>
        <v>86845.933333333334</v>
      </c>
      <c r="G107" s="49">
        <f t="shared" si="26"/>
        <v>100000</v>
      </c>
      <c r="H107" s="53">
        <f t="shared" si="28"/>
        <v>48.11</v>
      </c>
      <c r="I107" s="54">
        <f>F107/G107</f>
        <v>0.86845933333333336</v>
      </c>
      <c r="J107" s="21"/>
      <c r="L107" s="18"/>
    </row>
    <row r="108" spans="2:12" ht="15.75" x14ac:dyDescent="0.25">
      <c r="B108" s="49">
        <v>4</v>
      </c>
      <c r="C108" s="50">
        <f t="shared" si="29"/>
        <v>24.04</v>
      </c>
      <c r="D108" s="87">
        <v>77.599999999999994</v>
      </c>
      <c r="E108" s="51">
        <f t="shared" si="25"/>
        <v>0.15529683860232943</v>
      </c>
      <c r="F108" s="89">
        <f>Results_ChS_H2S_Ineris!E38</f>
        <v>28444.140000000003</v>
      </c>
      <c r="G108" s="49">
        <f t="shared" si="26"/>
        <v>100000</v>
      </c>
      <c r="H108" s="53">
        <f t="shared" si="28"/>
        <v>48.11</v>
      </c>
      <c r="I108" s="54">
        <f t="shared" si="27"/>
        <v>0.28444140000000001</v>
      </c>
      <c r="J108" s="21"/>
      <c r="L108" s="18"/>
    </row>
    <row r="109" spans="2:12" ht="15.75" x14ac:dyDescent="0.25">
      <c r="B109" s="49">
        <v>5</v>
      </c>
      <c r="C109" s="50">
        <f t="shared" si="29"/>
        <v>24.04</v>
      </c>
      <c r="D109" s="87">
        <v>39.32</v>
      </c>
      <c r="E109" s="51">
        <f t="shared" si="25"/>
        <v>7.8689068219633937E-2</v>
      </c>
      <c r="F109" s="89">
        <f>Results_ChS_H2S_Ineris!E47</f>
        <v>18953.25</v>
      </c>
      <c r="G109" s="49">
        <f t="shared" si="26"/>
        <v>100000</v>
      </c>
      <c r="H109" s="53">
        <f t="shared" si="28"/>
        <v>48.11</v>
      </c>
      <c r="I109" s="54">
        <f t="shared" si="27"/>
        <v>0.18953249999999999</v>
      </c>
      <c r="J109" s="21"/>
      <c r="L109" s="18"/>
    </row>
    <row r="110" spans="2:12" ht="15.75" x14ac:dyDescent="0.25">
      <c r="B110" s="49">
        <v>6</v>
      </c>
      <c r="C110" s="50">
        <f t="shared" si="29"/>
        <v>24.04</v>
      </c>
      <c r="D110" s="87"/>
      <c r="E110" s="51">
        <f t="shared" si="25"/>
        <v>0</v>
      </c>
      <c r="F110" s="89"/>
      <c r="G110" s="49">
        <f t="shared" si="26"/>
        <v>100000</v>
      </c>
      <c r="H110" s="53">
        <f t="shared" si="28"/>
        <v>48.11</v>
      </c>
      <c r="I110" s="54">
        <f t="shared" si="27"/>
        <v>0</v>
      </c>
      <c r="J110" s="21"/>
      <c r="L110" s="18"/>
    </row>
    <row r="111" spans="2:12" ht="15.75" x14ac:dyDescent="0.25">
      <c r="B111" s="49"/>
      <c r="C111" s="50">
        <f t="shared" si="29"/>
        <v>24.04</v>
      </c>
      <c r="D111" s="87"/>
      <c r="E111" s="51">
        <f t="shared" si="25"/>
        <v>0</v>
      </c>
      <c r="F111" s="89"/>
      <c r="G111" s="49">
        <f t="shared" si="26"/>
        <v>100000</v>
      </c>
      <c r="H111" s="53">
        <f t="shared" si="28"/>
        <v>48.11</v>
      </c>
      <c r="I111" s="54">
        <f t="shared" si="27"/>
        <v>0</v>
      </c>
      <c r="J111" s="21"/>
      <c r="L111" s="18"/>
    </row>
    <row r="112" spans="2:12" ht="15.75" x14ac:dyDescent="0.25">
      <c r="B112" s="64"/>
      <c r="C112" s="29"/>
      <c r="D112" s="57"/>
      <c r="E112" s="57"/>
      <c r="F112" s="29"/>
      <c r="G112" s="55"/>
      <c r="H112" s="29"/>
      <c r="I112" s="29"/>
      <c r="J112" s="29"/>
      <c r="K112" s="29"/>
    </row>
    <row r="113" spans="2:12" ht="15.75" x14ac:dyDescent="0.25">
      <c r="B113" s="64"/>
      <c r="C113" s="29"/>
      <c r="D113" s="57"/>
      <c r="E113" s="57"/>
      <c r="F113" s="29"/>
      <c r="G113" s="55"/>
      <c r="H113" s="29"/>
      <c r="I113" s="29"/>
      <c r="J113" s="29"/>
      <c r="K113" s="29"/>
    </row>
    <row r="114" spans="2:12" ht="15.75" x14ac:dyDescent="0.25">
      <c r="B114" s="64"/>
      <c r="C114" s="29"/>
      <c r="D114" s="57"/>
      <c r="E114" s="57"/>
      <c r="F114" s="29"/>
      <c r="G114" s="55"/>
      <c r="H114" s="29"/>
      <c r="I114" s="29"/>
      <c r="J114" s="29"/>
      <c r="K114" s="29"/>
    </row>
    <row r="115" spans="2:12" ht="15.75" x14ac:dyDescent="0.25">
      <c r="B115" s="64"/>
      <c r="C115" s="29"/>
      <c r="D115" s="57"/>
      <c r="E115" s="57"/>
      <c r="F115" s="29"/>
      <c r="G115" s="55"/>
      <c r="H115" s="29"/>
      <c r="I115" s="29"/>
      <c r="J115" s="29"/>
      <c r="K115" s="29"/>
    </row>
    <row r="116" spans="2:12" ht="15.75" x14ac:dyDescent="0.25">
      <c r="B116" s="64"/>
      <c r="C116" s="29"/>
      <c r="D116" s="57"/>
      <c r="E116" s="57"/>
      <c r="F116" s="29"/>
      <c r="G116" s="55"/>
      <c r="H116" s="29"/>
      <c r="I116" s="29"/>
      <c r="J116" s="29"/>
      <c r="K116" s="29"/>
    </row>
    <row r="117" spans="2:12" ht="15.75" x14ac:dyDescent="0.25">
      <c r="B117" s="64"/>
      <c r="C117" s="29"/>
      <c r="D117" s="57"/>
      <c r="E117" s="57"/>
      <c r="F117" s="29"/>
      <c r="G117" s="55"/>
      <c r="H117" s="29"/>
      <c r="I117" s="29"/>
      <c r="J117" s="29"/>
      <c r="K117" s="29"/>
    </row>
    <row r="118" spans="2:12" ht="15.75" x14ac:dyDescent="0.25">
      <c r="B118" s="57"/>
      <c r="C118" s="55"/>
      <c r="D118" s="58"/>
      <c r="E118" s="58"/>
      <c r="F118" s="29"/>
      <c r="G118" s="55"/>
      <c r="H118" s="29"/>
      <c r="I118" s="29"/>
      <c r="J118" s="29"/>
      <c r="K118" s="29"/>
    </row>
    <row r="119" spans="2:12" ht="15.75" x14ac:dyDescent="0.25">
      <c r="B119" s="57"/>
      <c r="C119" s="55"/>
      <c r="D119" s="58"/>
      <c r="E119" s="57"/>
      <c r="F119" s="29"/>
      <c r="G119" s="55"/>
      <c r="H119" s="29"/>
      <c r="I119" s="29"/>
      <c r="J119" s="29"/>
      <c r="K119" s="36" t="s">
        <v>40</v>
      </c>
      <c r="L119" s="37" t="e">
        <f>EXP(INDEX(LINEST(LN(E122:E126),LN(I122:I126)),1,2))</f>
        <v>#VALUE!</v>
      </c>
    </row>
    <row r="120" spans="2:12" ht="21" x14ac:dyDescent="0.35">
      <c r="B120" s="39" t="s">
        <v>28</v>
      </c>
      <c r="C120" s="59"/>
      <c r="D120" s="58"/>
      <c r="E120" s="58"/>
      <c r="F120" s="57"/>
      <c r="G120" s="88"/>
      <c r="H120" s="57"/>
      <c r="I120" s="57"/>
      <c r="J120" s="60"/>
      <c r="K120" s="36" t="s">
        <v>41</v>
      </c>
      <c r="L120" s="37" t="e">
        <f>INDEX(LINEST(LN(E122:E126),LN(I122:I126),,),1)</f>
        <v>#VALUE!</v>
      </c>
    </row>
    <row r="121" spans="2:12" ht="15.75" x14ac:dyDescent="0.25">
      <c r="B121" s="42" t="s">
        <v>42</v>
      </c>
      <c r="C121" s="43" t="s">
        <v>43</v>
      </c>
      <c r="D121" s="45" t="s">
        <v>44</v>
      </c>
      <c r="E121" s="45" t="s">
        <v>45</v>
      </c>
      <c r="F121" s="44" t="s">
        <v>46</v>
      </c>
      <c r="G121" s="44" t="s">
        <v>47</v>
      </c>
      <c r="H121" s="46" t="s">
        <v>48</v>
      </c>
      <c r="I121" s="47" t="s">
        <v>49</v>
      </c>
      <c r="J121" s="21"/>
      <c r="L121" s="18"/>
    </row>
    <row r="122" spans="2:12" ht="15.75" x14ac:dyDescent="0.25">
      <c r="B122" s="49">
        <v>1</v>
      </c>
      <c r="C122" s="50">
        <v>24.04</v>
      </c>
      <c r="D122" s="87"/>
      <c r="E122" s="51">
        <f t="shared" ref="E122:E128" si="30">(D122*H122)/(C122*1000)</f>
        <v>0</v>
      </c>
      <c r="F122" s="89" t="e">
        <f>#REF!</f>
        <v>#REF!</v>
      </c>
      <c r="G122" s="49">
        <f t="shared" ref="G122:G128" si="31">$G$15</f>
        <v>100000</v>
      </c>
      <c r="H122" s="53">
        <v>62.13</v>
      </c>
      <c r="I122" s="54" t="e">
        <f t="shared" ref="I122:I128" si="32">F122/G122</f>
        <v>#REF!</v>
      </c>
      <c r="J122" s="21"/>
      <c r="L122" s="18"/>
    </row>
    <row r="123" spans="2:12" ht="15.75" x14ac:dyDescent="0.25">
      <c r="B123" s="49">
        <v>2</v>
      </c>
      <c r="C123" s="50">
        <f>$C$122</f>
        <v>24.04</v>
      </c>
      <c r="D123" s="87"/>
      <c r="E123" s="51">
        <f t="shared" si="30"/>
        <v>0</v>
      </c>
      <c r="F123" s="89" t="e">
        <f>#REF!</f>
        <v>#REF!</v>
      </c>
      <c r="G123" s="49">
        <f t="shared" si="31"/>
        <v>100000</v>
      </c>
      <c r="H123" s="53">
        <f t="shared" ref="H123:H128" si="33">$H$122</f>
        <v>62.13</v>
      </c>
      <c r="I123" s="54" t="e">
        <f t="shared" si="32"/>
        <v>#REF!</v>
      </c>
      <c r="J123" s="21"/>
      <c r="L123" s="18"/>
    </row>
    <row r="124" spans="2:12" ht="15.75" x14ac:dyDescent="0.25">
      <c r="B124" s="49">
        <v>3</v>
      </c>
      <c r="C124" s="50">
        <f t="shared" ref="C124:C128" si="34">$C$122</f>
        <v>24.04</v>
      </c>
      <c r="D124" s="87"/>
      <c r="E124" s="51">
        <f t="shared" si="30"/>
        <v>0</v>
      </c>
      <c r="F124" s="89" t="e">
        <f>#REF!</f>
        <v>#REF!</v>
      </c>
      <c r="G124" s="49">
        <f t="shared" si="31"/>
        <v>100000</v>
      </c>
      <c r="H124" s="53">
        <f t="shared" si="33"/>
        <v>62.13</v>
      </c>
      <c r="I124" s="54" t="e">
        <f t="shared" si="32"/>
        <v>#REF!</v>
      </c>
      <c r="J124" s="21"/>
      <c r="L124" s="18"/>
    </row>
    <row r="125" spans="2:12" ht="15.75" x14ac:dyDescent="0.25">
      <c r="B125" s="49">
        <v>4</v>
      </c>
      <c r="C125" s="50">
        <f t="shared" si="34"/>
        <v>24.04</v>
      </c>
      <c r="D125" s="87"/>
      <c r="E125" s="51">
        <f t="shared" si="30"/>
        <v>0</v>
      </c>
      <c r="F125" s="89" t="e">
        <f>#REF!</f>
        <v>#REF!</v>
      </c>
      <c r="G125" s="49">
        <f t="shared" si="31"/>
        <v>100000</v>
      </c>
      <c r="H125" s="53">
        <f t="shared" si="33"/>
        <v>62.13</v>
      </c>
      <c r="I125" s="54" t="e">
        <f t="shared" si="32"/>
        <v>#REF!</v>
      </c>
      <c r="J125" s="21"/>
      <c r="L125" s="18"/>
    </row>
    <row r="126" spans="2:12" ht="15.75" x14ac:dyDescent="0.25">
      <c r="B126" s="49">
        <v>5</v>
      </c>
      <c r="C126" s="50">
        <f t="shared" si="34"/>
        <v>24.04</v>
      </c>
      <c r="D126" s="87"/>
      <c r="E126" s="51">
        <f t="shared" si="30"/>
        <v>0</v>
      </c>
      <c r="F126" s="89" t="e">
        <f>#REF!</f>
        <v>#REF!</v>
      </c>
      <c r="G126" s="49">
        <f t="shared" si="31"/>
        <v>100000</v>
      </c>
      <c r="H126" s="53">
        <f t="shared" si="33"/>
        <v>62.13</v>
      </c>
      <c r="I126" s="54" t="e">
        <f t="shared" si="32"/>
        <v>#REF!</v>
      </c>
      <c r="J126" s="21"/>
      <c r="L126" s="18"/>
    </row>
    <row r="127" spans="2:12" ht="15.75" x14ac:dyDescent="0.25">
      <c r="B127" s="49">
        <v>6</v>
      </c>
      <c r="C127" s="50">
        <f t="shared" si="34"/>
        <v>24.04</v>
      </c>
      <c r="D127" s="87"/>
      <c r="E127" s="51">
        <f t="shared" si="30"/>
        <v>0</v>
      </c>
      <c r="F127" s="89"/>
      <c r="G127" s="49">
        <f t="shared" si="31"/>
        <v>100000</v>
      </c>
      <c r="H127" s="53">
        <f t="shared" si="33"/>
        <v>62.13</v>
      </c>
      <c r="I127" s="54">
        <f t="shared" si="32"/>
        <v>0</v>
      </c>
      <c r="J127" s="21"/>
      <c r="L127" s="18"/>
    </row>
    <row r="128" spans="2:12" ht="15.75" x14ac:dyDescent="0.25">
      <c r="B128" s="49"/>
      <c r="C128" s="50">
        <f t="shared" si="34"/>
        <v>24.04</v>
      </c>
      <c r="D128" s="87"/>
      <c r="E128" s="51">
        <f t="shared" si="30"/>
        <v>0</v>
      </c>
      <c r="F128" s="89"/>
      <c r="G128" s="49">
        <f t="shared" si="31"/>
        <v>100000</v>
      </c>
      <c r="H128" s="53">
        <f t="shared" si="33"/>
        <v>62.13</v>
      </c>
      <c r="I128" s="54">
        <f t="shared" si="32"/>
        <v>0</v>
      </c>
      <c r="J128" s="21"/>
      <c r="L128" s="18"/>
    </row>
    <row r="129" spans="2:12" ht="15.75" x14ac:dyDescent="0.25">
      <c r="B129" s="29"/>
      <c r="C129" s="29"/>
      <c r="D129" s="57"/>
      <c r="E129" s="57"/>
      <c r="F129" s="29"/>
      <c r="G129" s="55"/>
      <c r="H129" s="29"/>
      <c r="I129" s="29"/>
      <c r="J129" s="29"/>
      <c r="K129" s="29"/>
    </row>
    <row r="130" spans="2:12" ht="15.75" x14ac:dyDescent="0.25">
      <c r="B130" s="57"/>
      <c r="C130" s="55"/>
      <c r="D130" s="58"/>
      <c r="E130" s="58"/>
      <c r="F130" s="29"/>
      <c r="G130" s="55"/>
      <c r="H130" s="29"/>
      <c r="I130" s="29"/>
      <c r="J130" s="29"/>
      <c r="K130" s="29"/>
    </row>
    <row r="131" spans="2:12" ht="15.75" x14ac:dyDescent="0.25">
      <c r="B131" s="57"/>
      <c r="C131" s="55"/>
      <c r="D131" s="58"/>
      <c r="E131" s="58"/>
      <c r="F131" s="29"/>
      <c r="G131" s="55"/>
      <c r="H131" s="29"/>
      <c r="I131" s="29"/>
      <c r="J131" s="29"/>
      <c r="K131" s="29"/>
    </row>
    <row r="132" spans="2:12" ht="15.75" x14ac:dyDescent="0.25">
      <c r="B132" s="57"/>
      <c r="C132" s="55"/>
      <c r="D132" s="58"/>
      <c r="E132" s="58"/>
      <c r="F132" s="29"/>
      <c r="G132" s="55"/>
      <c r="H132" s="29"/>
      <c r="I132" s="29"/>
      <c r="J132" s="29"/>
      <c r="K132" s="29"/>
    </row>
    <row r="133" spans="2:12" ht="15.75" x14ac:dyDescent="0.25">
      <c r="B133" s="57"/>
      <c r="C133" s="55"/>
      <c r="D133" s="58"/>
      <c r="E133" s="58"/>
      <c r="F133" s="29"/>
      <c r="G133" s="55"/>
      <c r="H133" s="29"/>
      <c r="I133" s="29"/>
      <c r="J133" s="29"/>
      <c r="K133" s="29"/>
    </row>
    <row r="134" spans="2:12" ht="15.75" x14ac:dyDescent="0.25">
      <c r="B134" s="57"/>
      <c r="C134" s="55"/>
      <c r="D134" s="58"/>
      <c r="E134" s="58"/>
      <c r="F134" s="29"/>
      <c r="G134" s="55"/>
      <c r="H134" s="29"/>
      <c r="I134" s="29"/>
      <c r="J134" s="29"/>
      <c r="K134" s="29"/>
    </row>
    <row r="135" spans="2:12" ht="15.75" x14ac:dyDescent="0.25">
      <c r="B135" s="57"/>
      <c r="C135" s="55"/>
      <c r="D135" s="58"/>
      <c r="E135" s="58"/>
      <c r="F135" s="29"/>
      <c r="G135" s="55"/>
      <c r="H135" s="29"/>
      <c r="I135" s="29"/>
      <c r="J135" s="29"/>
      <c r="K135" s="36" t="s">
        <v>40</v>
      </c>
      <c r="L135" s="37">
        <f>EXP(INDEX(LINEST(LN(E139:E142),LN(I139:I142)),1,2))</f>
        <v>0.26457102705607305</v>
      </c>
    </row>
    <row r="136" spans="2:12" ht="21" x14ac:dyDescent="0.35">
      <c r="B136" s="39" t="s">
        <v>29</v>
      </c>
      <c r="C136" s="59"/>
      <c r="D136" s="58"/>
      <c r="E136" s="58"/>
      <c r="F136" s="57"/>
      <c r="G136" s="88"/>
      <c r="H136" s="57"/>
      <c r="I136" s="57"/>
      <c r="J136" s="60"/>
      <c r="K136" s="36" t="s">
        <v>41</v>
      </c>
      <c r="L136" s="37">
        <f>INDEX(LINEST(LN(E139:E142),LN(I139:I142),,),1)</f>
        <v>0.6695805047449086</v>
      </c>
    </row>
    <row r="137" spans="2:12" ht="15.75" x14ac:dyDescent="0.25">
      <c r="B137" s="42" t="s">
        <v>42</v>
      </c>
      <c r="C137" s="43" t="s">
        <v>43</v>
      </c>
      <c r="D137" s="45" t="s">
        <v>44</v>
      </c>
      <c r="E137" s="45" t="s">
        <v>45</v>
      </c>
      <c r="F137" s="44" t="s">
        <v>46</v>
      </c>
      <c r="G137" s="44" t="s">
        <v>47</v>
      </c>
      <c r="H137" s="46" t="s">
        <v>48</v>
      </c>
      <c r="I137" s="47" t="s">
        <v>49</v>
      </c>
      <c r="J137" s="21"/>
      <c r="L137" s="18"/>
    </row>
    <row r="138" spans="2:12" ht="15.75" x14ac:dyDescent="0.25">
      <c r="B138" s="49">
        <v>1</v>
      </c>
      <c r="C138" s="50">
        <v>24.04</v>
      </c>
      <c r="D138" s="87">
        <v>389.69</v>
      </c>
      <c r="E138" s="51">
        <f t="shared" ref="E138:E144" si="35">(D138*H138)/(C138*1000)</f>
        <v>1.0071314351081533</v>
      </c>
      <c r="F138" s="89" t="s">
        <v>94</v>
      </c>
      <c r="G138" s="49">
        <f t="shared" ref="G138:G144" si="36">$G$15</f>
        <v>100000</v>
      </c>
      <c r="H138" s="53">
        <v>62.13</v>
      </c>
      <c r="I138" s="54" t="e">
        <f t="shared" ref="I138:I144" si="37">F138/G138</f>
        <v>#VALUE!</v>
      </c>
      <c r="J138" s="21"/>
      <c r="K138" s="65"/>
      <c r="L138" s="18"/>
    </row>
    <row r="139" spans="2:12" ht="15.75" x14ac:dyDescent="0.25">
      <c r="B139" s="49">
        <v>2</v>
      </c>
      <c r="C139" s="50">
        <f>$C$138</f>
        <v>24.04</v>
      </c>
      <c r="D139" s="87">
        <v>312.48</v>
      </c>
      <c r="E139" s="51">
        <f t="shared" si="35"/>
        <v>0.80758662229617317</v>
      </c>
      <c r="F139" s="89">
        <f>Results_ChS_H2S_Ineris!F20</f>
        <v>634622.65714285721</v>
      </c>
      <c r="G139" s="49">
        <f t="shared" si="36"/>
        <v>100000</v>
      </c>
      <c r="H139" s="53">
        <f t="shared" ref="H139:H144" si="38">$H$138</f>
        <v>62.13</v>
      </c>
      <c r="I139" s="54">
        <f t="shared" si="37"/>
        <v>6.3462265714285717</v>
      </c>
      <c r="J139" s="21"/>
      <c r="K139" s="65"/>
      <c r="L139" s="18"/>
    </row>
    <row r="140" spans="2:12" ht="15.75" x14ac:dyDescent="0.25">
      <c r="B140" s="49">
        <v>3</v>
      </c>
      <c r="C140" s="50">
        <f t="shared" ref="C140:C144" si="39">$C$138</f>
        <v>24.04</v>
      </c>
      <c r="D140" s="87">
        <v>196.51</v>
      </c>
      <c r="E140" s="51">
        <f t="shared" si="35"/>
        <v>0.50786881447587362</v>
      </c>
      <c r="F140" s="89">
        <f>Results_ChS_H2S_Ineris!F30</f>
        <v>207836.38333333333</v>
      </c>
      <c r="G140" s="49">
        <f t="shared" si="36"/>
        <v>100000</v>
      </c>
      <c r="H140" s="53">
        <f t="shared" si="38"/>
        <v>62.13</v>
      </c>
      <c r="I140" s="54">
        <f t="shared" si="37"/>
        <v>2.0783638333333334</v>
      </c>
      <c r="J140" s="21"/>
      <c r="L140" s="18"/>
    </row>
    <row r="141" spans="2:12" ht="15.75" x14ac:dyDescent="0.25">
      <c r="B141" s="49">
        <v>4</v>
      </c>
      <c r="C141" s="50">
        <f t="shared" si="39"/>
        <v>24.04</v>
      </c>
      <c r="D141" s="87">
        <v>99.67</v>
      </c>
      <c r="E141" s="51">
        <f t="shared" si="35"/>
        <v>0.25759139351081534</v>
      </c>
      <c r="F141" s="89">
        <f>Results_ChS_H2S_Ineris!F38</f>
        <v>73956.819999999992</v>
      </c>
      <c r="G141" s="49">
        <f t="shared" si="36"/>
        <v>100000</v>
      </c>
      <c r="H141" s="53">
        <f t="shared" si="38"/>
        <v>62.13</v>
      </c>
      <c r="I141" s="54">
        <f t="shared" si="37"/>
        <v>0.7395681999999999</v>
      </c>
      <c r="J141" s="21"/>
      <c r="L141" s="18"/>
    </row>
    <row r="142" spans="2:12" ht="18.75" customHeight="1" x14ac:dyDescent="0.25">
      <c r="B142" s="49">
        <v>5</v>
      </c>
      <c r="C142" s="50">
        <f t="shared" si="39"/>
        <v>24.04</v>
      </c>
      <c r="D142" s="87">
        <v>50.49</v>
      </c>
      <c r="E142" s="51">
        <f t="shared" si="35"/>
        <v>0.13048850665557404</v>
      </c>
      <c r="F142" s="89">
        <f>Results_ChS_H2S_Ineris!F47</f>
        <v>48057.883333333331</v>
      </c>
      <c r="G142" s="49">
        <f t="shared" si="36"/>
        <v>100000</v>
      </c>
      <c r="H142" s="53">
        <f t="shared" si="38"/>
        <v>62.13</v>
      </c>
      <c r="I142" s="54">
        <f t="shared" si="37"/>
        <v>0.48057883333333329</v>
      </c>
      <c r="J142" s="21"/>
      <c r="L142" s="18"/>
    </row>
    <row r="143" spans="2:12" ht="18.75" customHeight="1" x14ac:dyDescent="0.25">
      <c r="B143" s="49">
        <v>6</v>
      </c>
      <c r="C143" s="50">
        <f t="shared" si="39"/>
        <v>24.04</v>
      </c>
      <c r="D143" s="87"/>
      <c r="E143" s="51">
        <f t="shared" si="35"/>
        <v>0</v>
      </c>
      <c r="F143" s="89"/>
      <c r="G143" s="49">
        <f t="shared" si="36"/>
        <v>100000</v>
      </c>
      <c r="H143" s="53">
        <f t="shared" si="38"/>
        <v>62.13</v>
      </c>
      <c r="I143" s="54">
        <f t="shared" si="37"/>
        <v>0</v>
      </c>
      <c r="J143" s="21"/>
      <c r="L143" s="18"/>
    </row>
    <row r="144" spans="2:12" ht="15.75" x14ac:dyDescent="0.25">
      <c r="B144" s="49"/>
      <c r="C144" s="50">
        <f t="shared" si="39"/>
        <v>24.04</v>
      </c>
      <c r="D144" s="87"/>
      <c r="E144" s="51">
        <f t="shared" si="35"/>
        <v>0</v>
      </c>
      <c r="F144" s="89"/>
      <c r="G144" s="49">
        <f t="shared" si="36"/>
        <v>100000</v>
      </c>
      <c r="H144" s="53">
        <f t="shared" si="38"/>
        <v>62.13</v>
      </c>
      <c r="I144" s="54">
        <f t="shared" si="37"/>
        <v>0</v>
      </c>
      <c r="J144" s="21"/>
      <c r="L144" s="18"/>
    </row>
    <row r="145" spans="2:12" ht="15.75" x14ac:dyDescent="0.25">
      <c r="B145" s="64"/>
      <c r="C145" s="66"/>
      <c r="D145" s="57"/>
      <c r="E145" s="67"/>
      <c r="F145" s="29"/>
      <c r="G145" s="55"/>
      <c r="H145" s="29"/>
      <c r="I145" s="64"/>
      <c r="J145" s="29"/>
      <c r="K145" s="29"/>
    </row>
    <row r="146" spans="2:12" ht="15.75" x14ac:dyDescent="0.25">
      <c r="B146" s="57"/>
      <c r="C146" s="55"/>
      <c r="D146" s="58"/>
      <c r="E146" s="58"/>
      <c r="F146" s="29"/>
      <c r="G146" s="55"/>
      <c r="H146" s="29"/>
      <c r="I146" s="29"/>
      <c r="J146" s="29"/>
      <c r="K146" s="29"/>
    </row>
    <row r="147" spans="2:12" ht="15.75" x14ac:dyDescent="0.25">
      <c r="B147" s="57"/>
      <c r="C147" s="55"/>
      <c r="D147" s="58"/>
      <c r="E147" s="58"/>
      <c r="F147" s="29"/>
      <c r="G147" s="55"/>
      <c r="H147" s="29"/>
      <c r="I147" s="29"/>
      <c r="J147" s="29"/>
      <c r="K147" s="29"/>
    </row>
    <row r="148" spans="2:12" ht="15.75" x14ac:dyDescent="0.25">
      <c r="B148" s="57"/>
      <c r="C148" s="55"/>
      <c r="D148" s="58"/>
      <c r="E148" s="58"/>
      <c r="F148" s="29"/>
      <c r="G148" s="55"/>
      <c r="H148" s="29"/>
      <c r="I148" s="29"/>
      <c r="J148" s="29"/>
      <c r="K148" s="29"/>
    </row>
    <row r="149" spans="2:12" ht="15.75" x14ac:dyDescent="0.25">
      <c r="B149" s="57"/>
      <c r="C149" s="55"/>
      <c r="D149" s="58"/>
      <c r="E149" s="58"/>
      <c r="F149" s="29"/>
      <c r="G149" s="55"/>
      <c r="H149" s="29"/>
      <c r="I149" s="29"/>
      <c r="J149" s="29"/>
      <c r="K149" s="29"/>
    </row>
    <row r="150" spans="2:12" ht="15.75" x14ac:dyDescent="0.25">
      <c r="B150" s="57"/>
      <c r="C150" s="55"/>
      <c r="D150" s="58"/>
      <c r="E150" s="58"/>
      <c r="F150" s="29"/>
      <c r="G150" s="55"/>
      <c r="H150" s="29"/>
      <c r="I150" s="29"/>
      <c r="J150" s="29"/>
      <c r="K150" s="36" t="s">
        <v>40</v>
      </c>
      <c r="L150" s="37">
        <f>EXP(INDEX(LINEST(LN(E153:E157),LN(I153:I157)),1,2))</f>
        <v>0.13885264421621102</v>
      </c>
    </row>
    <row r="151" spans="2:12" ht="21" x14ac:dyDescent="0.35">
      <c r="B151" s="39" t="s">
        <v>30</v>
      </c>
      <c r="C151" s="59"/>
      <c r="D151" s="58"/>
      <c r="E151" s="58"/>
      <c r="F151" s="57"/>
      <c r="G151" s="88"/>
      <c r="H151" s="57"/>
      <c r="I151" s="57"/>
      <c r="J151" s="60"/>
      <c r="K151" s="36" t="s">
        <v>41</v>
      </c>
      <c r="L151" s="37">
        <f>INDEX(LINEST(LN(E153:E157),LN(I153:I157),,),1)</f>
        <v>0.55268720992755005</v>
      </c>
    </row>
    <row r="152" spans="2:12" ht="15.75" x14ac:dyDescent="0.25">
      <c r="B152" s="42" t="s">
        <v>42</v>
      </c>
      <c r="C152" s="43" t="s">
        <v>43</v>
      </c>
      <c r="D152" s="45" t="s">
        <v>44</v>
      </c>
      <c r="E152" s="45" t="s">
        <v>45</v>
      </c>
      <c r="F152" s="44" t="s">
        <v>46</v>
      </c>
      <c r="G152" s="44" t="s">
        <v>47</v>
      </c>
      <c r="H152" s="46" t="s">
        <v>48</v>
      </c>
      <c r="I152" s="47" t="s">
        <v>49</v>
      </c>
      <c r="J152" s="21"/>
      <c r="L152" s="18"/>
    </row>
    <row r="153" spans="2:12" ht="15.75" x14ac:dyDescent="0.25">
      <c r="B153" s="49">
        <v>1</v>
      </c>
      <c r="C153" s="50">
        <v>24.04</v>
      </c>
      <c r="D153" s="87">
        <v>66.81</v>
      </c>
      <c r="E153" s="51">
        <f t="shared" ref="E153:E159" si="40">(D153*H153)/(C153*1000)</f>
        <v>0.21160205490848588</v>
      </c>
      <c r="F153" s="89">
        <f>Results_ChS_COS_Ineris!E7</f>
        <v>217246.5</v>
      </c>
      <c r="G153" s="49">
        <f t="shared" ref="G153:G159" si="41">$G$33</f>
        <v>100000</v>
      </c>
      <c r="H153" s="53">
        <v>76.14</v>
      </c>
      <c r="I153" s="54">
        <f t="shared" ref="I153:I159" si="42">F153/G153</f>
        <v>2.1724649999999999</v>
      </c>
      <c r="J153" s="21"/>
      <c r="L153" s="18"/>
    </row>
    <row r="154" spans="2:12" ht="15.75" x14ac:dyDescent="0.25">
      <c r="B154" s="49">
        <v>2</v>
      </c>
      <c r="C154" s="50">
        <v>24.04</v>
      </c>
      <c r="D154" s="87">
        <v>86.69</v>
      </c>
      <c r="E154" s="51">
        <f t="shared" si="40"/>
        <v>0.2745664143094842</v>
      </c>
      <c r="F154" s="89">
        <f>Results_ChS_COS_Ineris!E16</f>
        <v>338210.84</v>
      </c>
      <c r="G154" s="49">
        <f t="shared" si="41"/>
        <v>100000</v>
      </c>
      <c r="H154" s="53">
        <f>$H$153</f>
        <v>76.14</v>
      </c>
      <c r="I154" s="54">
        <f t="shared" si="42"/>
        <v>3.3821084000000003</v>
      </c>
      <c r="J154" s="21"/>
      <c r="L154" s="18"/>
    </row>
    <row r="155" spans="2:12" ht="15.75" x14ac:dyDescent="0.25">
      <c r="B155" s="49">
        <v>3</v>
      </c>
      <c r="C155" s="50">
        <v>24.04</v>
      </c>
      <c r="D155" s="87">
        <v>100.6</v>
      </c>
      <c r="E155" s="51">
        <f t="shared" si="40"/>
        <v>0.31862246256239596</v>
      </c>
      <c r="F155" s="89">
        <f>Results_ChS_COS_Ineris!E23</f>
        <v>451372.66666666669</v>
      </c>
      <c r="G155" s="49">
        <f t="shared" si="41"/>
        <v>100000</v>
      </c>
      <c r="H155" s="53">
        <f t="shared" ref="H155:H159" si="43">$H$153</f>
        <v>76.14</v>
      </c>
      <c r="I155" s="54">
        <f t="shared" si="42"/>
        <v>4.5137266666666669</v>
      </c>
      <c r="J155" s="21"/>
      <c r="L155" s="18"/>
    </row>
    <row r="156" spans="2:12" ht="15.75" x14ac:dyDescent="0.25">
      <c r="B156" s="49">
        <v>4</v>
      </c>
      <c r="C156" s="50">
        <v>24.04</v>
      </c>
      <c r="D156" s="87">
        <v>116.5</v>
      </c>
      <c r="E156" s="51">
        <f t="shared" si="40"/>
        <v>0.36898128119800333</v>
      </c>
      <c r="F156" s="89">
        <f>Results_ChS_COS_Ineris!E31</f>
        <v>576231.47499999998</v>
      </c>
      <c r="G156" s="49">
        <f t="shared" si="41"/>
        <v>100000</v>
      </c>
      <c r="H156" s="53">
        <f t="shared" si="43"/>
        <v>76.14</v>
      </c>
      <c r="I156" s="54">
        <f t="shared" si="42"/>
        <v>5.7623147499999998</v>
      </c>
      <c r="J156" s="21"/>
      <c r="L156" s="18"/>
    </row>
    <row r="157" spans="2:12" ht="15.75" x14ac:dyDescent="0.25">
      <c r="B157" s="49">
        <v>5</v>
      </c>
      <c r="C157" s="50">
        <v>24.04</v>
      </c>
      <c r="D157" s="87">
        <v>146.30000000000001</v>
      </c>
      <c r="E157" s="51">
        <f t="shared" si="40"/>
        <v>0.46336447587354412</v>
      </c>
      <c r="F157" s="89">
        <f>Results_ChS_COS_Ineris!E40</f>
        <v>897649.07999999984</v>
      </c>
      <c r="G157" s="49">
        <f t="shared" si="41"/>
        <v>100000</v>
      </c>
      <c r="H157" s="53">
        <f t="shared" si="43"/>
        <v>76.14</v>
      </c>
      <c r="I157" s="54">
        <f t="shared" si="42"/>
        <v>8.9764907999999988</v>
      </c>
      <c r="J157" s="21"/>
      <c r="L157" s="18"/>
    </row>
    <row r="158" spans="2:12" ht="15.75" x14ac:dyDescent="0.25">
      <c r="B158" s="49">
        <v>6</v>
      </c>
      <c r="C158" s="50">
        <v>24.04</v>
      </c>
      <c r="D158" s="87"/>
      <c r="E158" s="51">
        <f t="shared" si="40"/>
        <v>0</v>
      </c>
      <c r="F158" s="62"/>
      <c r="G158" s="49">
        <f t="shared" si="41"/>
        <v>100000</v>
      </c>
      <c r="H158" s="53">
        <f t="shared" si="43"/>
        <v>76.14</v>
      </c>
      <c r="I158" s="54">
        <f t="shared" si="42"/>
        <v>0</v>
      </c>
      <c r="J158" s="21"/>
      <c r="L158" s="18"/>
    </row>
    <row r="159" spans="2:12" ht="15.75" x14ac:dyDescent="0.25">
      <c r="B159" s="49"/>
      <c r="C159" s="50">
        <v>24.04</v>
      </c>
      <c r="D159" s="87"/>
      <c r="E159" s="51">
        <f t="shared" si="40"/>
        <v>0</v>
      </c>
      <c r="F159" s="62"/>
      <c r="G159" s="49">
        <f t="shared" si="41"/>
        <v>100000</v>
      </c>
      <c r="H159" s="53">
        <f t="shared" si="43"/>
        <v>76.14</v>
      </c>
      <c r="I159" s="54">
        <f t="shared" si="42"/>
        <v>0</v>
      </c>
      <c r="J159" s="21"/>
      <c r="L159" s="18"/>
    </row>
    <row r="163" spans="4:5" x14ac:dyDescent="0.25">
      <c r="D163" s="65"/>
      <c r="E163" s="65"/>
    </row>
    <row r="189" spans="5:9" x14ac:dyDescent="0.25">
      <c r="E189" s="28"/>
      <c r="F189" s="68"/>
      <c r="G189" s="25"/>
      <c r="H189" s="68"/>
      <c r="I189" s="68"/>
    </row>
    <row r="190" spans="5:9" x14ac:dyDescent="0.25">
      <c r="E190" s="28"/>
      <c r="F190" s="68"/>
      <c r="G190" s="25"/>
      <c r="H190" s="68"/>
      <c r="I190" s="68"/>
    </row>
    <row r="191" spans="5:9" x14ac:dyDescent="0.25">
      <c r="E191" s="28"/>
      <c r="F191" s="68"/>
      <c r="G191" s="25"/>
      <c r="H191" s="68"/>
      <c r="I191" s="68"/>
    </row>
    <row r="192" spans="5:9" x14ac:dyDescent="0.25">
      <c r="E192" s="28"/>
      <c r="F192" s="68"/>
      <c r="G192" s="25"/>
      <c r="H192" s="68"/>
      <c r="I192" s="68"/>
    </row>
    <row r="193" spans="5:9" ht="15.75" x14ac:dyDescent="0.25">
      <c r="E193" s="67"/>
      <c r="F193" s="68"/>
      <c r="G193" s="25"/>
      <c r="H193" s="68"/>
      <c r="I193" s="68"/>
    </row>
    <row r="194" spans="5:9" ht="15.75" x14ac:dyDescent="0.25">
      <c r="E194" s="67"/>
      <c r="F194" s="68"/>
      <c r="G194" s="25"/>
      <c r="H194" s="68"/>
      <c r="I194" s="68"/>
    </row>
    <row r="195" spans="5:9" ht="15.75" x14ac:dyDescent="0.25">
      <c r="E195" s="67"/>
      <c r="F195" s="68"/>
      <c r="G195" s="25"/>
      <c r="H195" s="68"/>
      <c r="I195" s="68"/>
    </row>
    <row r="196" spans="5:9" ht="15.75" x14ac:dyDescent="0.25">
      <c r="E196" s="67"/>
      <c r="F196" s="68"/>
      <c r="G196" s="25"/>
      <c r="H196" s="68"/>
      <c r="I196" s="68"/>
    </row>
    <row r="197" spans="5:9" ht="15.75" x14ac:dyDescent="0.25">
      <c r="E197" s="67"/>
      <c r="F197" s="68"/>
      <c r="G197" s="25"/>
      <c r="H197" s="68"/>
      <c r="I197" s="68"/>
    </row>
    <row r="198" spans="5:9" ht="15.75" x14ac:dyDescent="0.25">
      <c r="E198" s="67"/>
      <c r="F198" s="68"/>
      <c r="G198" s="25"/>
      <c r="H198" s="68"/>
      <c r="I198" s="68"/>
    </row>
    <row r="199" spans="5:9" ht="15.75" x14ac:dyDescent="0.25">
      <c r="E199" s="67"/>
      <c r="F199" s="68"/>
      <c r="G199" s="25"/>
      <c r="H199" s="68"/>
      <c r="I199" s="68"/>
    </row>
    <row r="200" spans="5:9" x14ac:dyDescent="0.25">
      <c r="E200" s="28"/>
      <c r="F200" s="68"/>
      <c r="G200" s="25"/>
      <c r="H200" s="68"/>
      <c r="I200" s="68"/>
    </row>
    <row r="201" spans="5:9" x14ac:dyDescent="0.25">
      <c r="E201" s="28"/>
      <c r="F201" s="68"/>
      <c r="G201" s="25"/>
      <c r="H201" s="68"/>
      <c r="I201" s="68"/>
    </row>
    <row r="202" spans="5:9" x14ac:dyDescent="0.25">
      <c r="E202" s="28"/>
      <c r="F202" s="68"/>
      <c r="G202" s="25"/>
      <c r="H202" s="68"/>
      <c r="I202" s="68"/>
    </row>
  </sheetData>
  <protectedRanges>
    <protectedRange sqref="F31:H31 F136:H136 F32:F38 G13:H13 F80:H80 G103:H103 G120:H120 F120:F128 F13:F21 F46:H46 F47:F53 F81:F87 F151:F159 G151:H151 F61:H61 F62:F68 F137:F143 F103:F111" name="Area_1"/>
    <protectedRange sqref="C151 C31 C103 C120 C136 C15:C21 C33:C39 C105:C111 C122:C128 C138:C145 C153:C159 C46 C48:C54 C80 C82:C88 C61 C63:C69" name="Dilution_1"/>
    <protectedRange sqref="B31 D163:E163 B103 B120 J35 B136 B151 K138:K139 B15:B21 B33:B40 B105:B117 B122:B129 B138:B145 B153:B159 B46 J50 B48:B54 B80 J84 B82:B88 B61 J65 B63:B69" name="Volume_1"/>
    <protectedRange sqref="D31:E31 D122:E128 D103:E103 D120:E120 D136:E136 D151:E151 E193:E199 D138:D144 D15:E21 E138:E145 D153:E159 D33:E39 D105:E111 D46:E46 D48:E54 D80:E80 D82:E88 D61:E61 D63:E69" name="Expected ppm_1"/>
    <protectedRange sqref="G14:G21 G32:G39 G104:G111 G121:G128 G137:G144 G152:G159 G47:G54 G81:G88 I13 I31 I46 I80 I103 I120 I136 I145 I151 G62:G69 I61" name="BS_1"/>
    <protectedRange sqref="D4:E4" name="Expected ppm_1_1"/>
  </protectedRange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7"/>
  <sheetViews>
    <sheetView tabSelected="1" workbookViewId="0">
      <selection activeCell="Q24" sqref="Q24"/>
    </sheetView>
  </sheetViews>
  <sheetFormatPr baseColWidth="10" defaultRowHeight="15" x14ac:dyDescent="0.25"/>
  <cols>
    <col min="1" max="16" width="11.42578125" style="69"/>
    <col min="17" max="17" width="17.140625" style="69" customWidth="1"/>
    <col min="18" max="18" width="11.85546875" style="69" customWidth="1"/>
    <col min="19" max="19" width="15.42578125" style="69" customWidth="1"/>
    <col min="20" max="16384" width="11.42578125" style="69"/>
  </cols>
  <sheetData>
    <row r="1" spans="1:19" ht="18.75" x14ac:dyDescent="0.3">
      <c r="B1" s="70" t="s">
        <v>50</v>
      </c>
    </row>
    <row r="4" spans="1:19" x14ac:dyDescent="0.25">
      <c r="B4" s="69" t="s">
        <v>80</v>
      </c>
    </row>
    <row r="5" spans="1:19" ht="15.75" thickBot="1" x14ac:dyDescent="0.3">
      <c r="N5" s="69" t="s">
        <v>85</v>
      </c>
    </row>
    <row r="6" spans="1:19" ht="30" customHeight="1" thickBot="1" x14ac:dyDescent="0.3">
      <c r="A6" s="71"/>
      <c r="B6" s="118" t="s">
        <v>51</v>
      </c>
      <c r="C6" s="119"/>
      <c r="D6" s="118" t="s">
        <v>53</v>
      </c>
      <c r="E6" s="119" t="s">
        <v>52</v>
      </c>
      <c r="F6" s="118" t="s">
        <v>76</v>
      </c>
      <c r="G6" s="119"/>
      <c r="N6" s="109" t="s">
        <v>82</v>
      </c>
      <c r="O6" s="110" t="s">
        <v>47</v>
      </c>
      <c r="P6" s="110" t="s">
        <v>83</v>
      </c>
      <c r="Q6" s="112" t="s">
        <v>86</v>
      </c>
      <c r="R6" s="110"/>
      <c r="S6" s="111" t="s">
        <v>84</v>
      </c>
    </row>
    <row r="7" spans="1:19" x14ac:dyDescent="0.25">
      <c r="A7" s="72"/>
      <c r="B7" s="73" t="s">
        <v>54</v>
      </c>
      <c r="C7" s="74" t="s">
        <v>13</v>
      </c>
      <c r="D7" s="73" t="s">
        <v>54</v>
      </c>
      <c r="E7" s="74" t="s">
        <v>13</v>
      </c>
      <c r="F7" s="73" t="s">
        <v>54</v>
      </c>
      <c r="G7" s="74" t="s">
        <v>13</v>
      </c>
      <c r="N7" s="108"/>
      <c r="O7" s="108"/>
      <c r="P7" s="108">
        <v>1000</v>
      </c>
      <c r="Q7" s="108"/>
      <c r="R7" s="108"/>
      <c r="S7" s="108"/>
    </row>
    <row r="8" spans="1:19" hidden="1" x14ac:dyDescent="0.25">
      <c r="A8" s="75" t="s">
        <v>25</v>
      </c>
      <c r="B8" s="76" t="e">
        <f>ChS_Response_curves!L12</f>
        <v>#VALUE!</v>
      </c>
      <c r="C8" s="77" t="e">
        <f>ChS_Response_curves!L13</f>
        <v>#VALUE!</v>
      </c>
      <c r="D8" s="76" t="e">
        <f>B8*(10)^C8</f>
        <v>#VALUE!</v>
      </c>
      <c r="E8" s="77" t="e">
        <f>C8</f>
        <v>#VALUE!</v>
      </c>
      <c r="F8" s="76" t="e">
        <f>B8*(1/10)^C8</f>
        <v>#VALUE!</v>
      </c>
      <c r="G8" s="77" t="e">
        <f>C8</f>
        <v>#VALUE!</v>
      </c>
      <c r="N8" s="105">
        <v>90.19</v>
      </c>
      <c r="O8" s="105">
        <v>100000</v>
      </c>
      <c r="P8" s="105">
        <f>$P$7</f>
        <v>1000</v>
      </c>
      <c r="Q8" s="107" t="e">
        <f t="shared" ref="Q8:Q16" si="0">B8*(P8/O8)^C8</f>
        <v>#VALUE!</v>
      </c>
      <c r="R8" s="113" t="s">
        <v>25</v>
      </c>
      <c r="S8" s="106" t="e">
        <f>Q8*1000*24.04/N8</f>
        <v>#VALUE!</v>
      </c>
    </row>
    <row r="9" spans="1:19" hidden="1" x14ac:dyDescent="0.25">
      <c r="A9" s="78" t="s">
        <v>31</v>
      </c>
      <c r="B9" s="76" t="e">
        <f>ChS_Response_curves!L30</f>
        <v>#VALUE!</v>
      </c>
      <c r="C9" s="77" t="e">
        <f>ChS_Response_curves!L31</f>
        <v>#VALUE!</v>
      </c>
      <c r="D9" s="76" t="e">
        <f t="shared" ref="D9:D16" si="1">B9*(10)^C9</f>
        <v>#VALUE!</v>
      </c>
      <c r="E9" s="77" t="e">
        <f t="shared" ref="E9:E16" si="2">C9</f>
        <v>#VALUE!</v>
      </c>
      <c r="F9" s="76" t="e">
        <f t="shared" ref="F9:F16" si="3">B9*(1/10)^C9</f>
        <v>#VALUE!</v>
      </c>
      <c r="G9" s="77" t="e">
        <f t="shared" ref="G9:G16" si="4">C9</f>
        <v>#VALUE!</v>
      </c>
      <c r="N9" s="105">
        <v>94.2</v>
      </c>
      <c r="O9" s="105">
        <f>$O$8</f>
        <v>100000</v>
      </c>
      <c r="P9" s="105">
        <f t="shared" ref="P9:P17" si="5">$P$7</f>
        <v>1000</v>
      </c>
      <c r="Q9" s="107" t="e">
        <f t="shared" si="0"/>
        <v>#VALUE!</v>
      </c>
      <c r="R9" s="113" t="s">
        <v>31</v>
      </c>
      <c r="S9" s="106" t="e">
        <f t="shared" ref="S9:S16" si="6">Q9*1000*24.04/N9</f>
        <v>#VALUE!</v>
      </c>
    </row>
    <row r="10" spans="1:19" x14ac:dyDescent="0.25">
      <c r="A10" s="78" t="s">
        <v>64</v>
      </c>
      <c r="B10" s="76">
        <f>ChS_Response_curves!L45</f>
        <v>0.11594740109726634</v>
      </c>
      <c r="C10" s="77">
        <f>ChS_Response_curves!L46</f>
        <v>0.65022153849897568</v>
      </c>
      <c r="D10" s="76">
        <f t="shared" si="1"/>
        <v>0.51818227942724238</v>
      </c>
      <c r="E10" s="77">
        <f t="shared" si="2"/>
        <v>0.65022153849897568</v>
      </c>
      <c r="F10" s="76">
        <f>B10*(1/10)^C10</f>
        <v>2.594415200008398E-2</v>
      </c>
      <c r="G10" s="77">
        <f t="shared" si="4"/>
        <v>0.65022153849897568</v>
      </c>
      <c r="N10" s="105">
        <v>34.08</v>
      </c>
      <c r="O10" s="105">
        <f t="shared" ref="O10:O17" si="7">$O$8</f>
        <v>100000</v>
      </c>
      <c r="P10" s="105">
        <f>$P$7</f>
        <v>1000</v>
      </c>
      <c r="Q10" s="107">
        <f>B10*(P10/O10)^C10</f>
        <v>5.8052100921072818E-3</v>
      </c>
      <c r="R10" s="113" t="s">
        <v>64</v>
      </c>
      <c r="S10" s="106">
        <f>Q10*1000*24.04/N10</f>
        <v>4.0949897480709812</v>
      </c>
    </row>
    <row r="11" spans="1:19" x14ac:dyDescent="0.25">
      <c r="A11" s="78" t="s">
        <v>65</v>
      </c>
      <c r="B11" s="76">
        <f>ChS_Response_curves!L60</f>
        <v>0.10628291624221234</v>
      </c>
      <c r="C11" s="77">
        <f>ChS_Response_curves!L61</f>
        <v>0.73361033027571787</v>
      </c>
      <c r="D11" s="76">
        <f t="shared" ref="D11" si="8">B11*(10)^C11</f>
        <v>0.57553772074375498</v>
      </c>
      <c r="E11" s="77">
        <f t="shared" ref="E11" si="9">C11</f>
        <v>0.73361033027571787</v>
      </c>
      <c r="F11" s="76">
        <f t="shared" ref="F11" si="10">B11*(1/10)^C11</f>
        <v>1.9626964276731457E-2</v>
      </c>
      <c r="G11" s="77">
        <f t="shared" ref="G11" si="11">C11</f>
        <v>0.73361033027571787</v>
      </c>
      <c r="N11" s="105">
        <v>60.07</v>
      </c>
      <c r="O11" s="105">
        <f t="shared" si="7"/>
        <v>100000</v>
      </c>
      <c r="P11" s="105">
        <f t="shared" si="5"/>
        <v>1000</v>
      </c>
      <c r="Q11" s="107">
        <f t="shared" si="0"/>
        <v>3.6244557482992359E-3</v>
      </c>
      <c r="R11" s="113" t="s">
        <v>65</v>
      </c>
      <c r="S11" s="106">
        <f t="shared" si="6"/>
        <v>1.4505063457485208</v>
      </c>
    </row>
    <row r="12" spans="1:19" hidden="1" x14ac:dyDescent="0.25">
      <c r="A12" s="78" t="s">
        <v>26</v>
      </c>
      <c r="B12" s="76" t="e">
        <f>ChS_Response_curves!L79</f>
        <v>#VALUE!</v>
      </c>
      <c r="C12" s="77" t="e">
        <f>ChS_Response_curves!L80</f>
        <v>#VALUE!</v>
      </c>
      <c r="D12" s="76" t="e">
        <f t="shared" si="1"/>
        <v>#VALUE!</v>
      </c>
      <c r="E12" s="77" t="e">
        <f t="shared" si="2"/>
        <v>#VALUE!</v>
      </c>
      <c r="F12" s="76" t="e">
        <f t="shared" si="3"/>
        <v>#VALUE!</v>
      </c>
      <c r="G12" s="77" t="e">
        <f t="shared" si="4"/>
        <v>#VALUE!</v>
      </c>
      <c r="N12" s="105">
        <v>64.069999999999993</v>
      </c>
      <c r="O12" s="105">
        <f t="shared" si="7"/>
        <v>100000</v>
      </c>
      <c r="P12" s="105">
        <f t="shared" si="5"/>
        <v>1000</v>
      </c>
      <c r="Q12" s="107" t="e">
        <f t="shared" si="0"/>
        <v>#VALUE!</v>
      </c>
      <c r="R12" s="113" t="s">
        <v>26</v>
      </c>
      <c r="S12" s="106" t="e">
        <f t="shared" si="6"/>
        <v>#VALUE!</v>
      </c>
    </row>
    <row r="13" spans="1:19" x14ac:dyDescent="0.25">
      <c r="A13" s="78" t="s">
        <v>27</v>
      </c>
      <c r="B13" s="76">
        <f>ChS_Response_curves!L102</f>
        <v>0.2837326906975523</v>
      </c>
      <c r="C13" s="77">
        <f>ChS_Response_curves!L103</f>
        <v>0.63045510047891562</v>
      </c>
      <c r="D13" s="76">
        <f t="shared" si="1"/>
        <v>1.2116145417100985</v>
      </c>
      <c r="E13" s="77">
        <f t="shared" si="2"/>
        <v>0.63045510047891562</v>
      </c>
      <c r="F13" s="76">
        <f t="shared" si="3"/>
        <v>6.6443771512388339E-2</v>
      </c>
      <c r="G13" s="77">
        <f t="shared" si="4"/>
        <v>0.63045510047891562</v>
      </c>
      <c r="N13" s="105">
        <v>48.11</v>
      </c>
      <c r="O13" s="105">
        <f t="shared" si="7"/>
        <v>100000</v>
      </c>
      <c r="P13" s="105">
        <f t="shared" si="5"/>
        <v>1000</v>
      </c>
      <c r="Q13" s="107">
        <f t="shared" si="0"/>
        <v>1.555962678088596E-2</v>
      </c>
      <c r="R13" s="113" t="s">
        <v>27</v>
      </c>
      <c r="S13" s="106">
        <f t="shared" si="6"/>
        <v>7.7749621245582716</v>
      </c>
    </row>
    <row r="14" spans="1:19" hidden="1" x14ac:dyDescent="0.25">
      <c r="A14" s="78" t="s">
        <v>28</v>
      </c>
      <c r="B14" s="76" t="e">
        <f>ChS_Response_curves!L119</f>
        <v>#VALUE!</v>
      </c>
      <c r="C14" s="77" t="e">
        <f>ChS_Response_curves!L120</f>
        <v>#VALUE!</v>
      </c>
      <c r="D14" s="76" t="e">
        <f t="shared" si="1"/>
        <v>#VALUE!</v>
      </c>
      <c r="E14" s="77" t="e">
        <f t="shared" si="2"/>
        <v>#VALUE!</v>
      </c>
      <c r="F14" s="76" t="e">
        <f t="shared" si="3"/>
        <v>#VALUE!</v>
      </c>
      <c r="G14" s="77" t="e">
        <f t="shared" si="4"/>
        <v>#VALUE!</v>
      </c>
      <c r="N14" s="105">
        <v>62.13</v>
      </c>
      <c r="O14" s="105">
        <f t="shared" si="7"/>
        <v>100000</v>
      </c>
      <c r="P14" s="105">
        <f t="shared" si="5"/>
        <v>1000</v>
      </c>
      <c r="Q14" s="107" t="e">
        <f t="shared" si="0"/>
        <v>#VALUE!</v>
      </c>
      <c r="R14" s="113" t="s">
        <v>28</v>
      </c>
      <c r="S14" s="106" t="e">
        <f t="shared" si="6"/>
        <v>#VALUE!</v>
      </c>
    </row>
    <row r="15" spans="1:19" x14ac:dyDescent="0.25">
      <c r="A15" s="78" t="s">
        <v>29</v>
      </c>
      <c r="B15" s="76">
        <f>ChS_Response_curves!L135</f>
        <v>0.26457102705607305</v>
      </c>
      <c r="C15" s="77">
        <f>ChS_Response_curves!L136</f>
        <v>0.6695805047449086</v>
      </c>
      <c r="D15" s="76">
        <f t="shared" si="1"/>
        <v>1.2362969220065116</v>
      </c>
      <c r="E15" s="77">
        <f t="shared" si="2"/>
        <v>0.6695805047449086</v>
      </c>
      <c r="F15" s="76">
        <f t="shared" si="3"/>
        <v>5.661894574961715E-2</v>
      </c>
      <c r="G15" s="77">
        <f t="shared" si="4"/>
        <v>0.6695805047449086</v>
      </c>
      <c r="N15" s="105">
        <v>62.13</v>
      </c>
      <c r="O15" s="105">
        <f t="shared" si="7"/>
        <v>100000</v>
      </c>
      <c r="P15" s="105">
        <f t="shared" si="5"/>
        <v>1000</v>
      </c>
      <c r="Q15" s="107">
        <f t="shared" si="0"/>
        <v>1.2116614027879457E-2</v>
      </c>
      <c r="R15" s="113" t="s">
        <v>29</v>
      </c>
      <c r="S15" s="106">
        <f t="shared" si="6"/>
        <v>4.6882890911028827</v>
      </c>
    </row>
    <row r="16" spans="1:19" ht="15.75" hidden="1" thickBot="1" x14ac:dyDescent="0.3">
      <c r="A16" s="79" t="s">
        <v>30</v>
      </c>
      <c r="B16" s="80">
        <f>ChS_Response_curves!L150</f>
        <v>0.13885264421621102</v>
      </c>
      <c r="C16" s="81">
        <f>ChS_Response_curves!L151</f>
        <v>0.55268720992755005</v>
      </c>
      <c r="D16" s="76">
        <f t="shared" si="1"/>
        <v>0.49572561987634811</v>
      </c>
      <c r="E16" s="81">
        <f t="shared" si="2"/>
        <v>0.55268720992755005</v>
      </c>
      <c r="F16" s="76">
        <f t="shared" si="3"/>
        <v>3.8892597099667407E-2</v>
      </c>
      <c r="G16" s="81">
        <f t="shared" si="4"/>
        <v>0.55268720992755005</v>
      </c>
      <c r="N16" s="105">
        <v>76.14</v>
      </c>
      <c r="O16" s="105">
        <f t="shared" si="7"/>
        <v>100000</v>
      </c>
      <c r="P16" s="105">
        <f t="shared" si="5"/>
        <v>1000</v>
      </c>
      <c r="Q16" s="107">
        <f t="shared" si="0"/>
        <v>1.0893808452086056E-2</v>
      </c>
      <c r="R16" s="113" t="s">
        <v>30</v>
      </c>
      <c r="S16" s="106">
        <f t="shared" si="6"/>
        <v>3.4395476121374937</v>
      </c>
    </row>
    <row r="17" spans="1:19" x14ac:dyDescent="0.25">
      <c r="A17" s="78" t="s">
        <v>30</v>
      </c>
      <c r="B17" s="76">
        <f>ChS_Response_curves!L150</f>
        <v>0.13885264421621102</v>
      </c>
      <c r="C17" s="77">
        <f>ChS_Response_curves!L151</f>
        <v>0.55268720992755005</v>
      </c>
      <c r="D17" s="76">
        <f t="shared" ref="D17" si="12">B17*(10)^C17</f>
        <v>0.49572561987634811</v>
      </c>
      <c r="E17" s="77">
        <f t="shared" ref="E17" si="13">C17</f>
        <v>0.55268720992755005</v>
      </c>
      <c r="F17" s="76">
        <f t="shared" ref="F17" si="14">B17*(1/10)^C17</f>
        <v>3.8892597099667407E-2</v>
      </c>
      <c r="G17" s="77">
        <f t="shared" ref="G17" si="15">C17</f>
        <v>0.55268720992755005</v>
      </c>
      <c r="N17" s="105">
        <v>76.138999999999996</v>
      </c>
      <c r="O17" s="105">
        <f t="shared" si="7"/>
        <v>100000</v>
      </c>
      <c r="P17" s="105">
        <f t="shared" si="5"/>
        <v>1000</v>
      </c>
      <c r="Q17" s="107">
        <f t="shared" ref="Q17" si="16">B17*(P17/O17)^C17</f>
        <v>1.0893808452086056E-2</v>
      </c>
      <c r="R17" s="113" t="s">
        <v>30</v>
      </c>
      <c r="S17" s="106">
        <f t="shared" ref="S17" si="17">Q17*1000*24.04/N17</f>
        <v>3.439592786720981</v>
      </c>
    </row>
  </sheetData>
  <mergeCells count="3">
    <mergeCell ref="B6:C6"/>
    <mergeCell ref="D6:E6"/>
    <mergeCell ref="F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dilutions MFC_ChS</vt:lpstr>
      <vt:lpstr>Results_ChS_H2S_Ineris</vt:lpstr>
      <vt:lpstr>Results_ChS_COS_Ineris</vt:lpstr>
      <vt:lpstr>ChS_Response_curves</vt:lpstr>
      <vt:lpstr>ChS_reponse_formulas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2022-07-27T10:23:40Z</dcterms:modified>
</cp:coreProperties>
</file>